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sensorless\"/>
    </mc:Choice>
  </mc:AlternateContent>
  <xr:revisionPtr revIDLastSave="0" documentId="13_ncr:1_{35652FAA-3BC1-4E0C-9A61-A8888120CED7}" xr6:coauthVersionLast="47" xr6:coauthVersionMax="47" xr10:uidLastSave="{00000000-0000-0000-0000-000000000000}"/>
  <bookViews>
    <workbookView xWindow="-33180" yWindow="6588" windowWidth="26784" windowHeight="18600" tabRatio="812" activeTab="3" xr2:uid="{00000000-000D-0000-FFFF-FFFF00000000}"/>
  </bookViews>
  <sheets>
    <sheet name="モーター定数" sheetId="12" r:id="rId1"/>
    <sheet name="motor.tsv" sheetId="1" r:id="rId2"/>
    <sheet name="Tamiya" sheetId="2" r:id="rId3"/>
    <sheet name="6速HE" sheetId="22" r:id="rId4"/>
    <sheet name="FET" sheetId="6" r:id="rId5"/>
    <sheet name="処理進行" sheetId="4" r:id="rId6"/>
    <sheet name="処理進行縦書き" sheetId="7" r:id="rId7"/>
    <sheet name="状態遷移図" sheetId="19" r:id="rId8"/>
    <sheet name="フローチャート" sheetId="17" r:id="rId9"/>
    <sheet name="LED電流" sheetId="8" r:id="rId10"/>
    <sheet name="EEPROM" sheetId="9" r:id="rId11"/>
    <sheet name="reset" sheetId="10" r:id="rId12"/>
    <sheet name="P gain" sheetId="11" r:id="rId13"/>
    <sheet name="OD by CWG2" sheetId="13" r:id="rId14"/>
    <sheet name="OD by DSM" sheetId="15" r:id="rId15"/>
    <sheet name="Flasher" sheetId="14" r:id="rId16"/>
    <sheet name="lead angle" sheetId="16" r:id="rId17"/>
    <sheet name="Screw" sheetId="21" r:id="rId18"/>
  </sheets>
  <definedNames>
    <definedName name="_xlnm._FilterDatabase" localSheetId="17" hidden="1">Screw!$A$1:$L$48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8" i="22" l="1"/>
  <c r="I78" i="22"/>
  <c r="H78" i="22"/>
  <c r="G78" i="22"/>
  <c r="F78" i="22"/>
  <c r="E78" i="22"/>
  <c r="D78" i="22"/>
  <c r="D77" i="22"/>
  <c r="E77" i="22"/>
  <c r="F77" i="22"/>
  <c r="G77" i="22"/>
  <c r="H77" i="22"/>
  <c r="I77" i="22"/>
  <c r="J77" i="22"/>
  <c r="J46" i="22"/>
  <c r="I46" i="22"/>
  <c r="H46" i="22"/>
  <c r="G46" i="22"/>
  <c r="F46" i="22"/>
  <c r="E46" i="22"/>
  <c r="D46" i="22"/>
  <c r="D45" i="22"/>
  <c r="E45" i="22"/>
  <c r="F45" i="22"/>
  <c r="G45" i="22"/>
  <c r="H45" i="22"/>
  <c r="I45" i="22"/>
  <c r="J45" i="22"/>
  <c r="J22" i="22"/>
  <c r="I22" i="22"/>
  <c r="H22" i="22"/>
  <c r="G22" i="22"/>
  <c r="F22" i="22"/>
  <c r="E22" i="22"/>
  <c r="D22" i="22"/>
  <c r="D21" i="22"/>
  <c r="E21" i="22"/>
  <c r="F21" i="22"/>
  <c r="G21" i="22"/>
  <c r="H21" i="22"/>
  <c r="I21" i="22"/>
  <c r="J21" i="22"/>
  <c r="J26" i="22"/>
  <c r="I26" i="22"/>
  <c r="H26" i="22"/>
  <c r="G26" i="22"/>
  <c r="F26" i="22"/>
  <c r="E26" i="22"/>
  <c r="D26" i="22"/>
  <c r="D25" i="22"/>
  <c r="E25" i="22"/>
  <c r="F25" i="22"/>
  <c r="G25" i="22"/>
  <c r="H25" i="22"/>
  <c r="I25" i="22"/>
  <c r="J25" i="22"/>
  <c r="J30" i="22"/>
  <c r="I30" i="22"/>
  <c r="H30" i="22"/>
  <c r="G30" i="22"/>
  <c r="F30" i="22"/>
  <c r="E30" i="22"/>
  <c r="D30" i="22"/>
  <c r="D29" i="22"/>
  <c r="E29" i="22"/>
  <c r="F29" i="22"/>
  <c r="G29" i="22"/>
  <c r="H29" i="22"/>
  <c r="I29" i="22"/>
  <c r="J29" i="22"/>
  <c r="J58" i="22"/>
  <c r="I58" i="22"/>
  <c r="H58" i="22"/>
  <c r="G58" i="22"/>
  <c r="F58" i="22"/>
  <c r="E58" i="22"/>
  <c r="D58" i="22"/>
  <c r="D57" i="22"/>
  <c r="E57" i="22"/>
  <c r="F57" i="22"/>
  <c r="G57" i="22"/>
  <c r="H57" i="22"/>
  <c r="I57" i="22"/>
  <c r="J57" i="22"/>
  <c r="J54" i="22"/>
  <c r="I54" i="22"/>
  <c r="H54" i="22"/>
  <c r="G54" i="22"/>
  <c r="F54" i="22"/>
  <c r="E54" i="22"/>
  <c r="D54" i="22"/>
  <c r="D53" i="22"/>
  <c r="E53" i="22"/>
  <c r="F53" i="22"/>
  <c r="G53" i="22"/>
  <c r="H53" i="22"/>
  <c r="I53" i="22"/>
  <c r="J53" i="22"/>
  <c r="J38" i="22"/>
  <c r="I38" i="22"/>
  <c r="H38" i="22"/>
  <c r="G38" i="22"/>
  <c r="F38" i="22"/>
  <c r="E38" i="22"/>
  <c r="D38" i="22"/>
  <c r="D37" i="22"/>
  <c r="E37" i="22"/>
  <c r="F37" i="22"/>
  <c r="G37" i="22"/>
  <c r="H37" i="22"/>
  <c r="I37" i="22"/>
  <c r="J37" i="22"/>
  <c r="J34" i="22"/>
  <c r="I34" i="22"/>
  <c r="H34" i="22"/>
  <c r="G34" i="22"/>
  <c r="F34" i="22"/>
  <c r="E34" i="22"/>
  <c r="D34" i="22"/>
  <c r="D33" i="22"/>
  <c r="E33" i="22"/>
  <c r="F33" i="22"/>
  <c r="G33" i="22"/>
  <c r="H33" i="22"/>
  <c r="I33" i="22"/>
  <c r="J33" i="22"/>
  <c r="J10" i="22"/>
  <c r="I10" i="22"/>
  <c r="H10" i="22"/>
  <c r="G10" i="22"/>
  <c r="F10" i="22"/>
  <c r="E10" i="22"/>
  <c r="D10" i="22"/>
  <c r="D9" i="22"/>
  <c r="E9" i="22"/>
  <c r="F9" i="22"/>
  <c r="G9" i="22"/>
  <c r="H9" i="22"/>
  <c r="I9" i="22"/>
  <c r="J9" i="22"/>
  <c r="J62" i="22"/>
  <c r="I62" i="22"/>
  <c r="H62" i="22"/>
  <c r="G62" i="22"/>
  <c r="F62" i="22"/>
  <c r="E62" i="22"/>
  <c r="D62" i="22"/>
  <c r="D61" i="22"/>
  <c r="E61" i="22"/>
  <c r="F61" i="22"/>
  <c r="G61" i="22"/>
  <c r="H61" i="22"/>
  <c r="I61" i="22"/>
  <c r="J61" i="22"/>
  <c r="J50" i="22"/>
  <c r="I50" i="22"/>
  <c r="H50" i="22"/>
  <c r="G50" i="22"/>
  <c r="F50" i="22"/>
  <c r="E50" i="22"/>
  <c r="D50" i="22"/>
  <c r="D49" i="22"/>
  <c r="E49" i="22"/>
  <c r="F49" i="22"/>
  <c r="G49" i="22"/>
  <c r="H49" i="22"/>
  <c r="I49" i="22"/>
  <c r="J49" i="22"/>
  <c r="J42" i="22"/>
  <c r="I42" i="22"/>
  <c r="H42" i="22"/>
  <c r="G42" i="22"/>
  <c r="F42" i="22"/>
  <c r="E42" i="22"/>
  <c r="D42" i="22"/>
  <c r="D41" i="22"/>
  <c r="E41" i="22"/>
  <c r="F41" i="22"/>
  <c r="G41" i="22"/>
  <c r="H41" i="22"/>
  <c r="I41" i="22"/>
  <c r="J41" i="22"/>
  <c r="J18" i="22"/>
  <c r="I18" i="22"/>
  <c r="H18" i="22"/>
  <c r="G18" i="22"/>
  <c r="F18" i="22"/>
  <c r="E18" i="22"/>
  <c r="D18" i="22"/>
  <c r="D17" i="22"/>
  <c r="E17" i="22"/>
  <c r="F17" i="22"/>
  <c r="G17" i="22"/>
  <c r="H17" i="22"/>
  <c r="I17" i="22"/>
  <c r="J17" i="22"/>
  <c r="J14" i="22"/>
  <c r="I14" i="22"/>
  <c r="H14" i="22"/>
  <c r="G14" i="22"/>
  <c r="F14" i="22"/>
  <c r="E14" i="22"/>
  <c r="D14" i="22"/>
  <c r="D13" i="22"/>
  <c r="E13" i="22"/>
  <c r="F13" i="22"/>
  <c r="G13" i="22"/>
  <c r="H13" i="22"/>
  <c r="I13" i="22"/>
  <c r="J13" i="22"/>
  <c r="J70" i="22"/>
  <c r="I70" i="22"/>
  <c r="H70" i="22"/>
  <c r="G70" i="22"/>
  <c r="F70" i="22"/>
  <c r="E70" i="22"/>
  <c r="D70" i="22"/>
  <c r="D69" i="22"/>
  <c r="E69" i="22"/>
  <c r="F69" i="22"/>
  <c r="G69" i="22"/>
  <c r="H69" i="22"/>
  <c r="I69" i="22"/>
  <c r="J69" i="22"/>
  <c r="J74" i="22"/>
  <c r="I74" i="22"/>
  <c r="H74" i="22"/>
  <c r="G74" i="22"/>
  <c r="F74" i="22"/>
  <c r="E74" i="22"/>
  <c r="D74" i="22"/>
  <c r="D73" i="22"/>
  <c r="E73" i="22"/>
  <c r="F73" i="22"/>
  <c r="G73" i="22"/>
  <c r="H73" i="22"/>
  <c r="I73" i="22"/>
  <c r="J73" i="22"/>
  <c r="J66" i="22"/>
  <c r="I66" i="22"/>
  <c r="H66" i="22"/>
  <c r="G66" i="22"/>
  <c r="F66" i="22"/>
  <c r="E66" i="22"/>
  <c r="D66" i="22"/>
  <c r="D65" i="22"/>
  <c r="E65" i="22"/>
  <c r="F65" i="22"/>
  <c r="G65" i="22"/>
  <c r="H65" i="22"/>
  <c r="I65" i="22"/>
  <c r="J65" i="22"/>
  <c r="J6" i="22"/>
  <c r="I6" i="22"/>
  <c r="H6" i="22"/>
  <c r="G6" i="22"/>
  <c r="F6" i="22"/>
  <c r="E6" i="22"/>
  <c r="D6" i="22"/>
  <c r="D5" i="22"/>
  <c r="E5" i="22"/>
  <c r="F5" i="22"/>
  <c r="G5" i="22"/>
  <c r="H5" i="22"/>
  <c r="I5" i="22"/>
  <c r="J5" i="2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P153" i="2"/>
  <c r="G146" i="2"/>
  <c r="L146" i="2"/>
  <c r="E91" i="2"/>
  <c r="F91" i="2"/>
  <c r="E92" i="2"/>
  <c r="F92" i="2"/>
  <c r="G90" i="2"/>
  <c r="K90" i="2"/>
  <c r="J90" i="2"/>
  <c r="N146" i="2"/>
  <c r="N147" i="2"/>
  <c r="N148" i="2"/>
  <c r="N149" i="2"/>
  <c r="N150" i="2"/>
  <c r="N151" i="2"/>
  <c r="N152" i="2"/>
  <c r="N153" i="2"/>
  <c r="L147" i="2"/>
  <c r="L148" i="2"/>
  <c r="L149" i="2"/>
  <c r="L150" i="2"/>
  <c r="L151" i="2"/>
  <c r="L152" i="2"/>
  <c r="L153" i="2"/>
  <c r="I147" i="2"/>
  <c r="I148" i="2"/>
  <c r="I149" i="2"/>
  <c r="I150" i="2"/>
  <c r="I151" i="2"/>
  <c r="I152" i="2"/>
  <c r="I153" i="2"/>
  <c r="P152" i="2"/>
  <c r="P151" i="2"/>
  <c r="P150" i="2"/>
  <c r="P149" i="2"/>
  <c r="P148" i="2"/>
  <c r="K146" i="2"/>
  <c r="J146" i="2"/>
  <c r="M146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P145" i="2"/>
  <c r="G138" i="2"/>
  <c r="L138" i="2"/>
  <c r="N138" i="2"/>
  <c r="N139" i="2"/>
  <c r="N140" i="2"/>
  <c r="N141" i="2"/>
  <c r="N142" i="2"/>
  <c r="N143" i="2"/>
  <c r="N144" i="2"/>
  <c r="N145" i="2"/>
  <c r="L139" i="2"/>
  <c r="L140" i="2"/>
  <c r="L141" i="2"/>
  <c r="L142" i="2"/>
  <c r="L143" i="2"/>
  <c r="L144" i="2"/>
  <c r="L145" i="2"/>
  <c r="I139" i="2"/>
  <c r="I140" i="2"/>
  <c r="I141" i="2"/>
  <c r="I142" i="2"/>
  <c r="I143" i="2"/>
  <c r="I144" i="2"/>
  <c r="I145" i="2"/>
  <c r="P144" i="2"/>
  <c r="P143" i="2"/>
  <c r="P142" i="2"/>
  <c r="P141" i="2"/>
  <c r="P140" i="2"/>
  <c r="K138" i="2"/>
  <c r="J138" i="2"/>
  <c r="M138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P113" i="2"/>
  <c r="G106" i="2"/>
  <c r="L106" i="2"/>
  <c r="N106" i="2"/>
  <c r="N107" i="2"/>
  <c r="N108" i="2"/>
  <c r="N109" i="2"/>
  <c r="N110" i="2"/>
  <c r="N111" i="2"/>
  <c r="N112" i="2"/>
  <c r="N113" i="2"/>
  <c r="L107" i="2"/>
  <c r="L108" i="2"/>
  <c r="L109" i="2"/>
  <c r="L110" i="2"/>
  <c r="L111" i="2"/>
  <c r="L112" i="2"/>
  <c r="L113" i="2"/>
  <c r="I107" i="2"/>
  <c r="I108" i="2"/>
  <c r="I109" i="2"/>
  <c r="I110" i="2"/>
  <c r="I111" i="2"/>
  <c r="I112" i="2"/>
  <c r="I113" i="2"/>
  <c r="P112" i="2"/>
  <c r="P111" i="2"/>
  <c r="P110" i="2"/>
  <c r="P109" i="2"/>
  <c r="P108" i="2"/>
  <c r="K106" i="2"/>
  <c r="J106" i="2"/>
  <c r="M106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P121" i="2"/>
  <c r="G114" i="2"/>
  <c r="L114" i="2"/>
  <c r="N114" i="2"/>
  <c r="N115" i="2"/>
  <c r="N116" i="2"/>
  <c r="N117" i="2"/>
  <c r="N118" i="2"/>
  <c r="N119" i="2"/>
  <c r="N120" i="2"/>
  <c r="N121" i="2"/>
  <c r="L115" i="2"/>
  <c r="L116" i="2"/>
  <c r="L117" i="2"/>
  <c r="L118" i="2"/>
  <c r="L119" i="2"/>
  <c r="L120" i="2"/>
  <c r="L121" i="2"/>
  <c r="I115" i="2"/>
  <c r="I116" i="2"/>
  <c r="I117" i="2"/>
  <c r="I118" i="2"/>
  <c r="I119" i="2"/>
  <c r="I120" i="2"/>
  <c r="I121" i="2"/>
  <c r="P120" i="2"/>
  <c r="P119" i="2"/>
  <c r="P118" i="2"/>
  <c r="P117" i="2"/>
  <c r="P116" i="2"/>
  <c r="K114" i="2"/>
  <c r="J114" i="2"/>
  <c r="M114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P129" i="2"/>
  <c r="G122" i="2"/>
  <c r="L122" i="2"/>
  <c r="N122" i="2"/>
  <c r="N123" i="2"/>
  <c r="N124" i="2"/>
  <c r="N125" i="2"/>
  <c r="N126" i="2"/>
  <c r="N127" i="2"/>
  <c r="N128" i="2"/>
  <c r="N129" i="2"/>
  <c r="L123" i="2"/>
  <c r="L124" i="2"/>
  <c r="L125" i="2"/>
  <c r="L126" i="2"/>
  <c r="L127" i="2"/>
  <c r="L128" i="2"/>
  <c r="L129" i="2"/>
  <c r="I123" i="2"/>
  <c r="I124" i="2"/>
  <c r="I125" i="2"/>
  <c r="I126" i="2"/>
  <c r="I127" i="2"/>
  <c r="I128" i="2"/>
  <c r="I129" i="2"/>
  <c r="P128" i="2"/>
  <c r="P127" i="2"/>
  <c r="P126" i="2"/>
  <c r="P125" i="2"/>
  <c r="P124" i="2"/>
  <c r="K122" i="2"/>
  <c r="J122" i="2"/>
  <c r="M122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P137" i="2"/>
  <c r="G130" i="2"/>
  <c r="L130" i="2"/>
  <c r="N130" i="2"/>
  <c r="N131" i="2"/>
  <c r="N132" i="2"/>
  <c r="N133" i="2"/>
  <c r="N134" i="2"/>
  <c r="N135" i="2"/>
  <c r="N136" i="2"/>
  <c r="N137" i="2"/>
  <c r="L131" i="2"/>
  <c r="L132" i="2"/>
  <c r="L133" i="2"/>
  <c r="L134" i="2"/>
  <c r="L135" i="2"/>
  <c r="L136" i="2"/>
  <c r="L137" i="2"/>
  <c r="I131" i="2"/>
  <c r="I132" i="2"/>
  <c r="I133" i="2"/>
  <c r="I134" i="2"/>
  <c r="I135" i="2"/>
  <c r="I136" i="2"/>
  <c r="I137" i="2"/>
  <c r="P136" i="2"/>
  <c r="P135" i="2"/>
  <c r="P134" i="2"/>
  <c r="P133" i="2"/>
  <c r="P132" i="2"/>
  <c r="K130" i="2"/>
  <c r="J130" i="2"/>
  <c r="M130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P161" i="2"/>
  <c r="G154" i="2"/>
  <c r="L154" i="2"/>
  <c r="N154" i="2"/>
  <c r="N155" i="2"/>
  <c r="N156" i="2"/>
  <c r="N157" i="2"/>
  <c r="N158" i="2"/>
  <c r="N159" i="2"/>
  <c r="N160" i="2"/>
  <c r="N161" i="2"/>
  <c r="L155" i="2"/>
  <c r="L156" i="2"/>
  <c r="L157" i="2"/>
  <c r="L158" i="2"/>
  <c r="L159" i="2"/>
  <c r="L160" i="2"/>
  <c r="L161" i="2"/>
  <c r="I155" i="2"/>
  <c r="I156" i="2"/>
  <c r="I157" i="2"/>
  <c r="I158" i="2"/>
  <c r="I159" i="2"/>
  <c r="I160" i="2"/>
  <c r="I161" i="2"/>
  <c r="P160" i="2"/>
  <c r="P159" i="2"/>
  <c r="P158" i="2"/>
  <c r="P157" i="2"/>
  <c r="P156" i="2"/>
  <c r="K154" i="2"/>
  <c r="J154" i="2"/>
  <c r="M154" i="2"/>
  <c r="E99" i="2"/>
  <c r="F99" i="2"/>
  <c r="E100" i="2"/>
  <c r="F100" i="2"/>
  <c r="G98" i="2"/>
  <c r="L98" i="2"/>
  <c r="N98" i="2"/>
  <c r="F4" i="21"/>
  <c r="H8" i="21"/>
  <c r="G8" i="21"/>
  <c r="J8" i="21"/>
  <c r="L8" i="21"/>
  <c r="K8" i="21"/>
  <c r="F8" i="21"/>
  <c r="D8" i="21"/>
  <c r="C8" i="21"/>
  <c r="E8" i="21"/>
  <c r="J6" i="21"/>
  <c r="L6" i="21"/>
  <c r="K6" i="21"/>
  <c r="F6" i="21"/>
  <c r="D6" i="21"/>
  <c r="C6" i="21"/>
  <c r="E6" i="21"/>
  <c r="J11" i="21"/>
  <c r="L11" i="21"/>
  <c r="K11" i="21"/>
  <c r="F11" i="21"/>
  <c r="D11" i="21"/>
  <c r="C11" i="21"/>
  <c r="E11" i="21"/>
  <c r="J21" i="21"/>
  <c r="L21" i="21"/>
  <c r="K21" i="21"/>
  <c r="F21" i="21"/>
  <c r="D21" i="21"/>
  <c r="C21" i="21"/>
  <c r="E21" i="21"/>
  <c r="J22" i="21"/>
  <c r="L22" i="21"/>
  <c r="K22" i="21"/>
  <c r="F22" i="21"/>
  <c r="D22" i="21"/>
  <c r="C22" i="21"/>
  <c r="E22" i="21"/>
  <c r="J18" i="21"/>
  <c r="L18" i="21"/>
  <c r="K18" i="21"/>
  <c r="F18" i="21"/>
  <c r="D18" i="21"/>
  <c r="C18" i="21"/>
  <c r="E18" i="21"/>
  <c r="J7" i="21"/>
  <c r="L7" i="21"/>
  <c r="K7" i="21"/>
  <c r="F7" i="21"/>
  <c r="D7" i="21"/>
  <c r="C7" i="21"/>
  <c r="E7" i="21"/>
  <c r="J5" i="21"/>
  <c r="L5" i="21"/>
  <c r="K5" i="21"/>
  <c r="F5" i="21"/>
  <c r="D5" i="21"/>
  <c r="C5" i="21"/>
  <c r="E5" i="21"/>
  <c r="J12" i="21"/>
  <c r="L12" i="21"/>
  <c r="K12" i="21"/>
  <c r="F12" i="21"/>
  <c r="D12" i="21"/>
  <c r="C12" i="21"/>
  <c r="E12" i="21"/>
  <c r="J10" i="21"/>
  <c r="L10" i="21"/>
  <c r="K10" i="21"/>
  <c r="F10" i="21"/>
  <c r="D10" i="21"/>
  <c r="C10" i="21"/>
  <c r="E10" i="21"/>
  <c r="J35" i="21"/>
  <c r="L35" i="21"/>
  <c r="K35" i="21"/>
  <c r="F35" i="21"/>
  <c r="D35" i="21"/>
  <c r="C35" i="21"/>
  <c r="E35" i="21"/>
  <c r="J32" i="21"/>
  <c r="L32" i="21"/>
  <c r="K32" i="21"/>
  <c r="F32" i="21"/>
  <c r="D32" i="21"/>
  <c r="C32" i="21"/>
  <c r="E32" i="21"/>
  <c r="J30" i="21"/>
  <c r="L30" i="21"/>
  <c r="K30" i="21"/>
  <c r="F30" i="21"/>
  <c r="D30" i="21"/>
  <c r="C30" i="21"/>
  <c r="E30" i="21"/>
  <c r="J27" i="21"/>
  <c r="L27" i="21"/>
  <c r="K27" i="21"/>
  <c r="F27" i="21"/>
  <c r="D27" i="21"/>
  <c r="C27" i="21"/>
  <c r="E27" i="21"/>
  <c r="J25" i="21"/>
  <c r="L25" i="21"/>
  <c r="K25" i="21"/>
  <c r="F25" i="21"/>
  <c r="D25" i="21"/>
  <c r="C25" i="21"/>
  <c r="E25" i="21"/>
  <c r="J17" i="21"/>
  <c r="L17" i="21"/>
  <c r="K17" i="21"/>
  <c r="F17" i="21"/>
  <c r="D17" i="21"/>
  <c r="C17" i="21"/>
  <c r="E17" i="21"/>
  <c r="J13" i="21"/>
  <c r="L13" i="21"/>
  <c r="K13" i="21"/>
  <c r="F13" i="21"/>
  <c r="D13" i="21"/>
  <c r="C13" i="21"/>
  <c r="E13" i="21"/>
  <c r="J47" i="21"/>
  <c r="L47" i="21"/>
  <c r="K47" i="21"/>
  <c r="F47" i="21"/>
  <c r="D47" i="21"/>
  <c r="C47" i="21"/>
  <c r="E47" i="21"/>
  <c r="J46" i="21"/>
  <c r="L46" i="21"/>
  <c r="G46" i="21"/>
  <c r="K46" i="21"/>
  <c r="F46" i="21"/>
  <c r="D46" i="21"/>
  <c r="C46" i="21"/>
  <c r="E46" i="21"/>
  <c r="J45" i="21"/>
  <c r="L45" i="21"/>
  <c r="G45" i="21"/>
  <c r="K45" i="21"/>
  <c r="F45" i="21"/>
  <c r="D45" i="21"/>
  <c r="C45" i="21"/>
  <c r="E45" i="21"/>
  <c r="J44" i="21"/>
  <c r="L44" i="21"/>
  <c r="K44" i="21"/>
  <c r="F44" i="21"/>
  <c r="D44" i="21"/>
  <c r="C44" i="21"/>
  <c r="E44" i="21"/>
  <c r="J43" i="21"/>
  <c r="L43" i="21"/>
  <c r="G43" i="21"/>
  <c r="K43" i="21"/>
  <c r="F43" i="21"/>
  <c r="D43" i="21"/>
  <c r="C43" i="21"/>
  <c r="E43" i="21"/>
  <c r="J42" i="21"/>
  <c r="L42" i="21"/>
  <c r="K42" i="21"/>
  <c r="F42" i="21"/>
  <c r="D42" i="21"/>
  <c r="C42" i="21"/>
  <c r="E42" i="21"/>
  <c r="J41" i="21"/>
  <c r="L41" i="21"/>
  <c r="K41" i="21"/>
  <c r="F41" i="21"/>
  <c r="D41" i="21"/>
  <c r="C41" i="21"/>
  <c r="E41" i="21"/>
  <c r="J40" i="21"/>
  <c r="L40" i="21"/>
  <c r="G40" i="21"/>
  <c r="K40" i="21"/>
  <c r="F40" i="21"/>
  <c r="D40" i="21"/>
  <c r="C40" i="21"/>
  <c r="E40" i="21"/>
  <c r="J39" i="21"/>
  <c r="L39" i="21"/>
  <c r="G39" i="21"/>
  <c r="K39" i="21"/>
  <c r="F39" i="21"/>
  <c r="D39" i="21"/>
  <c r="C39" i="21"/>
  <c r="E39" i="21"/>
  <c r="J38" i="21"/>
  <c r="L38" i="21"/>
  <c r="G38" i="21"/>
  <c r="K38" i="21"/>
  <c r="F38" i="21"/>
  <c r="D38" i="21"/>
  <c r="C38" i="21"/>
  <c r="E38" i="21"/>
  <c r="J37" i="21"/>
  <c r="L37" i="21"/>
  <c r="G37" i="21"/>
  <c r="K37" i="21"/>
  <c r="F37" i="21"/>
  <c r="D37" i="21"/>
  <c r="C37" i="21"/>
  <c r="E37" i="21"/>
  <c r="J36" i="21"/>
  <c r="L36" i="21"/>
  <c r="K36" i="21"/>
  <c r="F36" i="21"/>
  <c r="D36" i="21"/>
  <c r="C36" i="21"/>
  <c r="E36" i="21"/>
  <c r="J34" i="21"/>
  <c r="L34" i="21"/>
  <c r="G34" i="21"/>
  <c r="K34" i="21"/>
  <c r="F34" i="21"/>
  <c r="D34" i="21"/>
  <c r="C34" i="21"/>
  <c r="E34" i="21"/>
  <c r="J33" i="21"/>
  <c r="L33" i="21"/>
  <c r="G33" i="21"/>
  <c r="K33" i="21"/>
  <c r="F33" i="21"/>
  <c r="D33" i="21"/>
  <c r="C33" i="21"/>
  <c r="E33" i="21"/>
  <c r="J31" i="21"/>
  <c r="L31" i="21"/>
  <c r="K31" i="21"/>
  <c r="F31" i="21"/>
  <c r="D31" i="21"/>
  <c r="C31" i="21"/>
  <c r="E31" i="21"/>
  <c r="J29" i="21"/>
  <c r="L29" i="21"/>
  <c r="G29" i="21"/>
  <c r="K29" i="21"/>
  <c r="F29" i="21"/>
  <c r="D29" i="21"/>
  <c r="C29" i="21"/>
  <c r="E29" i="21"/>
  <c r="J28" i="21"/>
  <c r="L28" i="21"/>
  <c r="G28" i="21"/>
  <c r="K28" i="21"/>
  <c r="F28" i="21"/>
  <c r="D28" i="21"/>
  <c r="C28" i="21"/>
  <c r="E28" i="21"/>
  <c r="J26" i="21"/>
  <c r="L26" i="21"/>
  <c r="K26" i="21"/>
  <c r="F26" i="21"/>
  <c r="D26" i="21"/>
  <c r="C26" i="21"/>
  <c r="E26" i="21"/>
  <c r="J24" i="21"/>
  <c r="L24" i="21"/>
  <c r="G24" i="21"/>
  <c r="K24" i="21"/>
  <c r="F24" i="21"/>
  <c r="D24" i="21"/>
  <c r="C24" i="21"/>
  <c r="E24" i="21"/>
  <c r="J23" i="21"/>
  <c r="L23" i="21"/>
  <c r="H23" i="21"/>
  <c r="G23" i="21"/>
  <c r="K23" i="21"/>
  <c r="F23" i="21"/>
  <c r="D23" i="21"/>
  <c r="C23" i="21"/>
  <c r="E23" i="21"/>
  <c r="J20" i="21"/>
  <c r="L20" i="21"/>
  <c r="G20" i="21"/>
  <c r="K20" i="21"/>
  <c r="F20" i="21"/>
  <c r="D20" i="21"/>
  <c r="C20" i="21"/>
  <c r="E20" i="21"/>
  <c r="J19" i="21"/>
  <c r="L19" i="21"/>
  <c r="G19" i="21"/>
  <c r="K19" i="21"/>
  <c r="F19" i="21"/>
  <c r="D19" i="21"/>
  <c r="C19" i="21"/>
  <c r="E19" i="21"/>
  <c r="J16" i="21"/>
  <c r="L16" i="21"/>
  <c r="G16" i="21"/>
  <c r="K16" i="21"/>
  <c r="F16" i="21"/>
  <c r="D16" i="21"/>
  <c r="C16" i="21"/>
  <c r="E16" i="21"/>
  <c r="J15" i="21"/>
  <c r="L15" i="21"/>
  <c r="H15" i="21"/>
  <c r="G15" i="21"/>
  <c r="K15" i="21"/>
  <c r="F15" i="21"/>
  <c r="D15" i="21"/>
  <c r="C15" i="21"/>
  <c r="E15" i="21"/>
  <c r="J14" i="21"/>
  <c r="L14" i="21"/>
  <c r="K14" i="21"/>
  <c r="F14" i="21"/>
  <c r="D14" i="21"/>
  <c r="C14" i="21"/>
  <c r="E14" i="21"/>
  <c r="J9" i="21"/>
  <c r="L9" i="21"/>
  <c r="G9" i="21"/>
  <c r="K9" i="21"/>
  <c r="F9" i="21"/>
  <c r="D9" i="21"/>
  <c r="C9" i="21"/>
  <c r="E9" i="21"/>
  <c r="E220" i="12"/>
  <c r="G185" i="12"/>
  <c r="G197" i="12"/>
  <c r="G208" i="12"/>
  <c r="G218" i="12"/>
  <c r="G192" i="12"/>
  <c r="F191" i="12"/>
  <c r="G191" i="12"/>
  <c r="F190" i="12"/>
  <c r="G190" i="12"/>
  <c r="F189" i="12"/>
  <c r="G189" i="12"/>
  <c r="F188" i="12"/>
  <c r="G188" i="12"/>
  <c r="F187" i="12"/>
  <c r="G187" i="12"/>
  <c r="F186" i="12"/>
  <c r="G186" i="12"/>
  <c r="C191" i="12"/>
  <c r="C192" i="12"/>
  <c r="D191" i="12"/>
  <c r="C190" i="12"/>
  <c r="D190" i="12"/>
  <c r="C189" i="12"/>
  <c r="D189" i="12"/>
  <c r="C188" i="12"/>
  <c r="D188" i="12"/>
  <c r="C187" i="12"/>
  <c r="C186" i="12"/>
  <c r="I189" i="12"/>
  <c r="H189" i="12"/>
  <c r="H192" i="12"/>
  <c r="I191" i="12"/>
  <c r="H191" i="12"/>
  <c r="I190" i="12"/>
  <c r="H190" i="12"/>
  <c r="I188" i="12"/>
  <c r="H188" i="12"/>
  <c r="I187" i="12"/>
  <c r="H187" i="12"/>
  <c r="D187" i="12"/>
  <c r="I186" i="12"/>
  <c r="H186" i="12"/>
  <c r="D186" i="12"/>
  <c r="F221" i="12"/>
  <c r="G221" i="12"/>
  <c r="I221" i="12"/>
  <c r="F220" i="12"/>
  <c r="G220" i="12"/>
  <c r="I220" i="12"/>
  <c r="F219" i="12"/>
  <c r="G219" i="12"/>
  <c r="I219" i="12"/>
  <c r="F212" i="12"/>
  <c r="G212" i="12"/>
  <c r="I212" i="12"/>
  <c r="F211" i="12"/>
  <c r="G211" i="12"/>
  <c r="I211" i="12"/>
  <c r="F210" i="12"/>
  <c r="G210" i="12"/>
  <c r="I210" i="12"/>
  <c r="F209" i="12"/>
  <c r="G209" i="12"/>
  <c r="I209" i="12"/>
  <c r="F202" i="12"/>
  <c r="G202" i="12"/>
  <c r="I202" i="12"/>
  <c r="F201" i="12"/>
  <c r="G201" i="12"/>
  <c r="I201" i="12"/>
  <c r="F200" i="12"/>
  <c r="G200" i="12"/>
  <c r="I200" i="12"/>
  <c r="F199" i="12"/>
  <c r="G199" i="12"/>
  <c r="I199" i="12"/>
  <c r="F198" i="12"/>
  <c r="G198" i="12"/>
  <c r="I198" i="12"/>
  <c r="E101" i="2"/>
  <c r="F101" i="2"/>
  <c r="E102" i="2"/>
  <c r="F102" i="2"/>
  <c r="E103" i="2"/>
  <c r="F103" i="2"/>
  <c r="E104" i="2"/>
  <c r="F104" i="2"/>
  <c r="E105" i="2"/>
  <c r="F105" i="2"/>
  <c r="P105" i="2"/>
  <c r="N99" i="2"/>
  <c r="N100" i="2"/>
  <c r="N101" i="2"/>
  <c r="N102" i="2"/>
  <c r="N103" i="2"/>
  <c r="N104" i="2"/>
  <c r="N105" i="2"/>
  <c r="L99" i="2"/>
  <c r="L100" i="2"/>
  <c r="L101" i="2"/>
  <c r="L102" i="2"/>
  <c r="L103" i="2"/>
  <c r="L104" i="2"/>
  <c r="L105" i="2"/>
  <c r="I99" i="2"/>
  <c r="I100" i="2"/>
  <c r="I101" i="2"/>
  <c r="I102" i="2"/>
  <c r="I103" i="2"/>
  <c r="I104" i="2"/>
  <c r="I105" i="2"/>
  <c r="P104" i="2"/>
  <c r="P103" i="2"/>
  <c r="P102" i="2"/>
  <c r="P101" i="2"/>
  <c r="P100" i="2"/>
  <c r="K98" i="2"/>
  <c r="J98" i="2"/>
  <c r="M98" i="2"/>
  <c r="E163" i="2"/>
  <c r="F163" i="2"/>
  <c r="E164" i="2"/>
  <c r="F164" i="2"/>
  <c r="E165" i="2"/>
  <c r="F165" i="2"/>
  <c r="E167" i="2"/>
  <c r="F167" i="2"/>
  <c r="G162" i="2"/>
  <c r="K162" i="2"/>
  <c r="J162" i="2"/>
  <c r="L162" i="2"/>
  <c r="M162" i="2"/>
  <c r="N162" i="2"/>
  <c r="I163" i="2"/>
  <c r="L163" i="2"/>
  <c r="N163" i="2"/>
  <c r="I164" i="2"/>
  <c r="L164" i="2"/>
  <c r="N164" i="2"/>
  <c r="M165" i="2"/>
  <c r="I165" i="2"/>
  <c r="L165" i="2"/>
  <c r="N165" i="2"/>
  <c r="E166" i="2"/>
  <c r="F166" i="2"/>
  <c r="I166" i="2"/>
  <c r="L166" i="2"/>
  <c r="N166" i="2"/>
  <c r="P166" i="2"/>
  <c r="M167" i="2"/>
  <c r="I167" i="2"/>
  <c r="L167" i="2"/>
  <c r="N167" i="2"/>
  <c r="P167" i="2"/>
  <c r="E169" i="2"/>
  <c r="F169" i="2"/>
  <c r="E170" i="2"/>
  <c r="F170" i="2"/>
  <c r="E171" i="2"/>
  <c r="F171" i="2"/>
  <c r="E173" i="2"/>
  <c r="F173" i="2"/>
  <c r="G168" i="2"/>
  <c r="K168" i="2"/>
  <c r="J168" i="2"/>
  <c r="L168" i="2"/>
  <c r="M168" i="2"/>
  <c r="N168" i="2"/>
  <c r="I169" i="2"/>
  <c r="L169" i="2"/>
  <c r="N169" i="2"/>
  <c r="J14" i="11"/>
  <c r="I14" i="11"/>
  <c r="J10" i="11"/>
  <c r="I10" i="11"/>
  <c r="J5" i="11"/>
  <c r="I5" i="11"/>
  <c r="G6" i="11"/>
  <c r="H6" i="11"/>
  <c r="I6" i="11"/>
  <c r="J6" i="11"/>
  <c r="G7" i="11"/>
  <c r="H7" i="11"/>
  <c r="I7" i="11"/>
  <c r="J7" i="11"/>
  <c r="G8" i="11"/>
  <c r="H8" i="11"/>
  <c r="I8" i="11"/>
  <c r="J8" i="11"/>
  <c r="G9" i="11"/>
  <c r="H9" i="11"/>
  <c r="I9" i="11"/>
  <c r="J9" i="11"/>
  <c r="G11" i="11"/>
  <c r="H11" i="11"/>
  <c r="I11" i="11"/>
  <c r="J11" i="11"/>
  <c r="G12" i="11"/>
  <c r="H12" i="11"/>
  <c r="I12" i="11"/>
  <c r="J12" i="11"/>
  <c r="G13" i="11"/>
  <c r="H13" i="11"/>
  <c r="I13" i="11"/>
  <c r="J13" i="11"/>
  <c r="G15" i="11"/>
  <c r="H15" i="11"/>
  <c r="I15" i="11"/>
  <c r="J15" i="11"/>
  <c r="G16" i="11"/>
  <c r="H16" i="11"/>
  <c r="I16" i="11"/>
  <c r="J16" i="11"/>
  <c r="G4" i="11"/>
  <c r="H4" i="11"/>
  <c r="J4" i="11"/>
  <c r="I4" i="11"/>
  <c r="I28" i="14"/>
  <c r="I25" i="14"/>
  <c r="I22" i="14"/>
  <c r="A22" i="14"/>
  <c r="C22" i="14"/>
  <c r="I29" i="14"/>
  <c r="I26" i="14"/>
  <c r="I23" i="14"/>
  <c r="A23" i="14"/>
  <c r="C23" i="14"/>
  <c r="D22" i="14"/>
  <c r="I27" i="14"/>
  <c r="I24" i="14"/>
  <c r="A24" i="14"/>
  <c r="C24" i="14"/>
  <c r="D23" i="14"/>
  <c r="A25" i="14"/>
  <c r="C25" i="14"/>
  <c r="D24" i="14"/>
  <c r="A26" i="14"/>
  <c r="C26" i="14"/>
  <c r="D25" i="14"/>
  <c r="A27" i="14"/>
  <c r="C27" i="14"/>
  <c r="D26" i="14"/>
  <c r="A28" i="14"/>
  <c r="C28" i="14"/>
  <c r="D27" i="14"/>
  <c r="A29" i="14"/>
  <c r="C29" i="14"/>
  <c r="D28" i="14"/>
  <c r="A30" i="14"/>
  <c r="C30" i="14"/>
  <c r="D29" i="14"/>
  <c r="A31" i="14"/>
  <c r="C31" i="14"/>
  <c r="D30" i="14"/>
  <c r="A32" i="14"/>
  <c r="C32" i="14"/>
  <c r="D31" i="14"/>
  <c r="I33" i="14"/>
  <c r="A33" i="14"/>
  <c r="C33" i="14"/>
  <c r="D32" i="14"/>
  <c r="I34" i="14"/>
  <c r="A34" i="14"/>
  <c r="C34" i="14"/>
  <c r="D33" i="14"/>
  <c r="I35" i="14"/>
  <c r="A35" i="14"/>
  <c r="C35" i="14"/>
  <c r="D34" i="14"/>
  <c r="I36" i="14"/>
  <c r="A36" i="14"/>
  <c r="C36" i="14"/>
  <c r="D35" i="14"/>
  <c r="I21" i="14"/>
  <c r="A21" i="14"/>
  <c r="C21" i="14"/>
  <c r="D21" i="14"/>
  <c r="E252" i="2"/>
  <c r="F252" i="2"/>
  <c r="G213" i="2"/>
  <c r="I213" i="2"/>
  <c r="I252" i="2"/>
  <c r="E253" i="2"/>
  <c r="I253" i="2"/>
  <c r="E93" i="2"/>
  <c r="F93" i="2"/>
  <c r="E94" i="2"/>
  <c r="F94" i="2"/>
  <c r="E95" i="2"/>
  <c r="F95" i="2"/>
  <c r="E96" i="2"/>
  <c r="F96" i="2"/>
  <c r="E97" i="2"/>
  <c r="F97" i="2"/>
  <c r="E254" i="2"/>
  <c r="I254" i="2"/>
  <c r="H213" i="2"/>
  <c r="H252" i="2"/>
  <c r="H253" i="2"/>
  <c r="H254" i="2"/>
  <c r="G252" i="2"/>
  <c r="G253" i="2"/>
  <c r="G254" i="2"/>
  <c r="F253" i="2"/>
  <c r="F254" i="2"/>
  <c r="A254" i="2"/>
  <c r="A248" i="2"/>
  <c r="H222" i="12"/>
  <c r="G222" i="12"/>
  <c r="C219" i="12"/>
  <c r="C220" i="12"/>
  <c r="C221" i="12"/>
  <c r="C222" i="12"/>
  <c r="D219" i="12"/>
  <c r="H213" i="12"/>
  <c r="H203" i="12"/>
  <c r="G213" i="12"/>
  <c r="C213" i="12"/>
  <c r="C209" i="12"/>
  <c r="C210" i="12"/>
  <c r="C211" i="12"/>
  <c r="C212" i="12"/>
  <c r="H212" i="12"/>
  <c r="G203" i="12"/>
  <c r="H200" i="12"/>
  <c r="C203" i="12"/>
  <c r="C198" i="12"/>
  <c r="C199" i="12"/>
  <c r="D198" i="12"/>
  <c r="C200" i="12"/>
  <c r="D199" i="12"/>
  <c r="C201" i="12"/>
  <c r="C202" i="12"/>
  <c r="D201" i="12"/>
  <c r="H221" i="12"/>
  <c r="D220" i="12"/>
  <c r="D221" i="12"/>
  <c r="H201" i="12"/>
  <c r="D202" i="12"/>
  <c r="D200" i="12"/>
  <c r="H202" i="12"/>
  <c r="D212" i="12"/>
  <c r="D210" i="12"/>
  <c r="D209" i="12"/>
  <c r="D211" i="12"/>
  <c r="D172" i="12"/>
  <c r="D171" i="12"/>
  <c r="C172" i="12"/>
  <c r="E172" i="12"/>
  <c r="C171" i="12"/>
  <c r="E171" i="12"/>
  <c r="B170" i="12"/>
  <c r="C170" i="12"/>
  <c r="E170" i="12"/>
  <c r="H220" i="12"/>
  <c r="H219" i="12"/>
  <c r="H199" i="12"/>
  <c r="H211" i="12"/>
  <c r="E175" i="12"/>
  <c r="E174" i="12"/>
  <c r="BU65" i="19"/>
  <c r="BE65" i="19"/>
  <c r="BA65" i="19"/>
  <c r="AW65" i="19"/>
  <c r="AS65" i="19"/>
  <c r="AO65" i="19"/>
  <c r="AG65" i="19"/>
  <c r="AC65" i="19"/>
  <c r="Y65" i="19"/>
  <c r="Q65" i="19"/>
  <c r="M65" i="19"/>
  <c r="BU64" i="19"/>
  <c r="BE64" i="19"/>
  <c r="BA64" i="19"/>
  <c r="AW64" i="19"/>
  <c r="AS64" i="19"/>
  <c r="AO64" i="19"/>
  <c r="AG64" i="19"/>
  <c r="AC64" i="19"/>
  <c r="Y64" i="19"/>
  <c r="Q64" i="19"/>
  <c r="M64" i="19"/>
  <c r="Q60" i="19"/>
  <c r="BU60" i="19"/>
  <c r="BE60" i="19"/>
  <c r="BA60" i="19"/>
  <c r="AW60" i="19"/>
  <c r="AS60" i="19"/>
  <c r="AO60" i="19"/>
  <c r="AG60" i="19"/>
  <c r="AC60" i="19"/>
  <c r="Y60" i="19"/>
  <c r="M60" i="19"/>
  <c r="BU59" i="19"/>
  <c r="BE59" i="19"/>
  <c r="BA59" i="19"/>
  <c r="AW59" i="19"/>
  <c r="AS59" i="19"/>
  <c r="AO59" i="19"/>
  <c r="AG59" i="19"/>
  <c r="AC59" i="19"/>
  <c r="Y59" i="19"/>
  <c r="Q59" i="19"/>
  <c r="M59" i="19"/>
  <c r="BU56" i="19"/>
  <c r="BE56" i="19"/>
  <c r="BA56" i="19"/>
  <c r="AW56" i="19"/>
  <c r="AS56" i="19"/>
  <c r="AO56" i="19"/>
  <c r="AG56" i="19"/>
  <c r="AC56" i="19"/>
  <c r="Y56" i="19"/>
  <c r="Q56" i="19"/>
  <c r="M56" i="19"/>
  <c r="BU57" i="19"/>
  <c r="BE57" i="19"/>
  <c r="BA57" i="19"/>
  <c r="AW57" i="19"/>
  <c r="AS57" i="19"/>
  <c r="AO57" i="19"/>
  <c r="AG57" i="19"/>
  <c r="AC57" i="19"/>
  <c r="Y57" i="19"/>
  <c r="Q57" i="19"/>
  <c r="M57" i="19"/>
  <c r="H210" i="12"/>
  <c r="H198" i="12"/>
  <c r="C174" i="12"/>
  <c r="C177" i="12"/>
  <c r="F177" i="12"/>
  <c r="E177" i="12"/>
  <c r="E178" i="12"/>
  <c r="C175" i="12"/>
  <c r="C178" i="12"/>
  <c r="F178" i="12"/>
  <c r="N8" i="12"/>
  <c r="I8" i="12"/>
  <c r="J8" i="12"/>
  <c r="K8" i="12"/>
  <c r="N7" i="12"/>
  <c r="I7" i="12"/>
  <c r="J7" i="12"/>
  <c r="K7" i="12"/>
  <c r="H209" i="12"/>
  <c r="H178" i="12"/>
  <c r="G178" i="12"/>
  <c r="H177" i="12"/>
  <c r="G177" i="12"/>
  <c r="D8" i="12"/>
  <c r="E8" i="12"/>
  <c r="F8" i="12"/>
  <c r="D7" i="12"/>
  <c r="E7" i="12"/>
  <c r="F7" i="12"/>
  <c r="N6" i="12"/>
  <c r="I6" i="12"/>
  <c r="J6" i="12"/>
  <c r="K6" i="12"/>
  <c r="N5" i="12"/>
  <c r="I5" i="12"/>
  <c r="J5" i="12"/>
  <c r="K5" i="12"/>
  <c r="D6" i="12"/>
  <c r="E6" i="12"/>
  <c r="F6" i="12"/>
  <c r="D5" i="12"/>
  <c r="E5" i="12"/>
  <c r="F5" i="12"/>
  <c r="N4" i="12"/>
  <c r="I4" i="12"/>
  <c r="J4" i="12"/>
  <c r="K4" i="12"/>
  <c r="D4" i="12"/>
  <c r="E4" i="12"/>
  <c r="F4" i="12"/>
  <c r="E313" i="2"/>
  <c r="E312" i="2"/>
  <c r="F312" i="2"/>
  <c r="I312" i="2"/>
  <c r="I313" i="2"/>
  <c r="H312" i="2"/>
  <c r="H313" i="2"/>
  <c r="E319" i="2"/>
  <c r="E318" i="2"/>
  <c r="F318" i="2"/>
  <c r="I318" i="2"/>
  <c r="I319" i="2"/>
  <c r="H318" i="2"/>
  <c r="H319" i="2"/>
  <c r="E309" i="2"/>
  <c r="F309" i="2"/>
  <c r="I309" i="2"/>
  <c r="E310" i="2"/>
  <c r="I310" i="2"/>
  <c r="H309" i="2"/>
  <c r="H310" i="2"/>
  <c r="E316" i="2"/>
  <c r="E315" i="2"/>
  <c r="F315" i="2"/>
  <c r="I315" i="2"/>
  <c r="I316" i="2"/>
  <c r="H315" i="2"/>
  <c r="H316" i="2"/>
  <c r="E300" i="2"/>
  <c r="E299" i="2"/>
  <c r="F299" i="2"/>
  <c r="I299" i="2"/>
  <c r="I300" i="2"/>
  <c r="H299" i="2"/>
  <c r="H300" i="2"/>
  <c r="E306" i="2"/>
  <c r="E305" i="2"/>
  <c r="F305" i="2"/>
  <c r="I305" i="2"/>
  <c r="I306" i="2"/>
  <c r="H305" i="2"/>
  <c r="H306" i="2"/>
  <c r="E297" i="2"/>
  <c r="E296" i="2"/>
  <c r="F296" i="2"/>
  <c r="I296" i="2"/>
  <c r="I297" i="2"/>
  <c r="H296" i="2"/>
  <c r="H297" i="2"/>
  <c r="E303" i="2"/>
  <c r="E302" i="2"/>
  <c r="F302" i="2"/>
  <c r="I302" i="2"/>
  <c r="I303" i="2"/>
  <c r="H302" i="2"/>
  <c r="H303" i="2"/>
  <c r="E292" i="2"/>
  <c r="F292" i="2"/>
  <c r="I292" i="2"/>
  <c r="E293" i="2"/>
  <c r="I293" i="2"/>
  <c r="H292" i="2"/>
  <c r="H293" i="2"/>
  <c r="E289" i="2"/>
  <c r="F289" i="2"/>
  <c r="I289" i="2"/>
  <c r="E290" i="2"/>
  <c r="I290" i="2"/>
  <c r="H289" i="2"/>
  <c r="H290" i="2"/>
  <c r="E286" i="2"/>
  <c r="F286" i="2"/>
  <c r="I286" i="2"/>
  <c r="E287" i="2"/>
  <c r="I287" i="2"/>
  <c r="H286" i="2"/>
  <c r="H287" i="2"/>
  <c r="E282" i="2"/>
  <c r="F282" i="2"/>
  <c r="I282" i="2"/>
  <c r="E283" i="2"/>
  <c r="I283" i="2"/>
  <c r="H282" i="2"/>
  <c r="H283" i="2"/>
  <c r="E279" i="2"/>
  <c r="F279" i="2"/>
  <c r="I279" i="2"/>
  <c r="E280" i="2"/>
  <c r="I280" i="2"/>
  <c r="H279" i="2"/>
  <c r="H280" i="2"/>
  <c r="E276" i="2"/>
  <c r="F276" i="2"/>
  <c r="I276" i="2"/>
  <c r="E277" i="2"/>
  <c r="I277" i="2"/>
  <c r="H276" i="2"/>
  <c r="H277" i="2"/>
  <c r="E273" i="2"/>
  <c r="F273" i="2"/>
  <c r="I273" i="2"/>
  <c r="E274" i="2"/>
  <c r="I274" i="2"/>
  <c r="H273" i="2"/>
  <c r="H274" i="2"/>
  <c r="E270" i="2"/>
  <c r="F270" i="2"/>
  <c r="I270" i="2"/>
  <c r="E271" i="2"/>
  <c r="I271" i="2"/>
  <c r="H270" i="2"/>
  <c r="H271" i="2"/>
  <c r="E267" i="2"/>
  <c r="F267" i="2"/>
  <c r="I267" i="2"/>
  <c r="E268" i="2"/>
  <c r="I268" i="2"/>
  <c r="H267" i="2"/>
  <c r="H268" i="2"/>
  <c r="E259" i="2"/>
  <c r="E258" i="2"/>
  <c r="F258" i="2"/>
  <c r="I258" i="2"/>
  <c r="I259" i="2"/>
  <c r="H258" i="2"/>
  <c r="H259" i="2"/>
  <c r="E265" i="2"/>
  <c r="E264" i="2"/>
  <c r="F264" i="2"/>
  <c r="I264" i="2"/>
  <c r="I265" i="2"/>
  <c r="H264" i="2"/>
  <c r="H265" i="2"/>
  <c r="E262" i="2"/>
  <c r="E261" i="2"/>
  <c r="F261" i="2"/>
  <c r="I261" i="2"/>
  <c r="I262" i="2"/>
  <c r="H261" i="2"/>
  <c r="H262" i="2"/>
  <c r="E246" i="2"/>
  <c r="F246" i="2"/>
  <c r="I246" i="2"/>
  <c r="E247" i="2"/>
  <c r="I247" i="2"/>
  <c r="H246" i="2"/>
  <c r="H247" i="2"/>
  <c r="E255" i="2"/>
  <c r="F255" i="2"/>
  <c r="I255" i="2"/>
  <c r="E256" i="2"/>
  <c r="I256" i="2"/>
  <c r="H255" i="2"/>
  <c r="H256" i="2"/>
  <c r="E249" i="2"/>
  <c r="F249" i="2"/>
  <c r="I249" i="2"/>
  <c r="E250" i="2"/>
  <c r="I250" i="2"/>
  <c r="H249" i="2"/>
  <c r="H250" i="2"/>
  <c r="E243" i="2"/>
  <c r="F243" i="2"/>
  <c r="I243" i="2"/>
  <c r="E244" i="2"/>
  <c r="I244" i="2"/>
  <c r="H243" i="2"/>
  <c r="H244" i="2"/>
  <c r="E240" i="2"/>
  <c r="F240" i="2"/>
  <c r="I240" i="2"/>
  <c r="E241" i="2"/>
  <c r="I241" i="2"/>
  <c r="H240" i="2"/>
  <c r="H241" i="2"/>
  <c r="E237" i="2"/>
  <c r="F237" i="2"/>
  <c r="I237" i="2"/>
  <c r="E238" i="2"/>
  <c r="I238" i="2"/>
  <c r="H237" i="2"/>
  <c r="H238" i="2"/>
  <c r="E221" i="2"/>
  <c r="F221" i="2"/>
  <c r="I221" i="2"/>
  <c r="E222" i="2"/>
  <c r="I222" i="2"/>
  <c r="H221" i="2"/>
  <c r="H222" i="2"/>
  <c r="E233" i="2"/>
  <c r="F233" i="2"/>
  <c r="I233" i="2"/>
  <c r="E234" i="2"/>
  <c r="I234" i="2"/>
  <c r="H233" i="2"/>
  <c r="H234" i="2"/>
  <c r="E230" i="2"/>
  <c r="F230" i="2"/>
  <c r="I230" i="2"/>
  <c r="E231" i="2"/>
  <c r="I231" i="2"/>
  <c r="H230" i="2"/>
  <c r="H231" i="2"/>
  <c r="E218" i="2"/>
  <c r="F218" i="2"/>
  <c r="I218" i="2"/>
  <c r="E219" i="2"/>
  <c r="I219" i="2"/>
  <c r="H218" i="2"/>
  <c r="H219" i="2"/>
  <c r="E227" i="2"/>
  <c r="F227" i="2"/>
  <c r="I227" i="2"/>
  <c r="E228" i="2"/>
  <c r="I228" i="2"/>
  <c r="H227" i="2"/>
  <c r="H228" i="2"/>
  <c r="E215" i="2"/>
  <c r="F215" i="2"/>
  <c r="I215" i="2"/>
  <c r="E216" i="2"/>
  <c r="I216" i="2"/>
  <c r="H215" i="2"/>
  <c r="H216" i="2"/>
  <c r="E224" i="2"/>
  <c r="F224" i="2"/>
  <c r="I224" i="2"/>
  <c r="E225" i="2"/>
  <c r="I225" i="2"/>
  <c r="H224" i="2"/>
  <c r="H225" i="2"/>
  <c r="N44" i="12"/>
  <c r="I44" i="12"/>
  <c r="J44" i="12"/>
  <c r="K44" i="12"/>
  <c r="D44" i="12"/>
  <c r="E44" i="12"/>
  <c r="F44" i="12"/>
  <c r="N45" i="12"/>
  <c r="I45" i="12"/>
  <c r="J45" i="12"/>
  <c r="K45" i="12"/>
  <c r="D45" i="12"/>
  <c r="E45" i="12"/>
  <c r="F45" i="12"/>
  <c r="G299" i="2"/>
  <c r="G300" i="2"/>
  <c r="G305" i="2"/>
  <c r="G306" i="2"/>
  <c r="G296" i="2"/>
  <c r="G297" i="2"/>
  <c r="G302" i="2"/>
  <c r="G303" i="2"/>
  <c r="G312" i="2"/>
  <c r="G313" i="2"/>
  <c r="F313" i="2"/>
  <c r="G318" i="2"/>
  <c r="G319" i="2"/>
  <c r="G309" i="2"/>
  <c r="G310" i="2"/>
  <c r="F310" i="2"/>
  <c r="G315" i="2"/>
  <c r="G316" i="2"/>
  <c r="M206" i="2"/>
  <c r="E206" i="2"/>
  <c r="E205" i="2"/>
  <c r="E199" i="2"/>
  <c r="E198" i="2"/>
  <c r="M210" i="2"/>
  <c r="E210" i="2"/>
  <c r="M209" i="2"/>
  <c r="E209" i="2"/>
  <c r="M208" i="2"/>
  <c r="E208" i="2"/>
  <c r="E207" i="2"/>
  <c r="E204" i="2"/>
  <c r="I204" i="2"/>
  <c r="K203" i="2"/>
  <c r="E202" i="2"/>
  <c r="E201" i="2"/>
  <c r="E200" i="2"/>
  <c r="E197" i="2"/>
  <c r="I197" i="2"/>
  <c r="K196" i="2"/>
  <c r="F297" i="2"/>
  <c r="F300" i="2"/>
  <c r="F303" i="2"/>
  <c r="F306" i="2"/>
  <c r="F316" i="2"/>
  <c r="F319" i="2"/>
  <c r="I205" i="2"/>
  <c r="I206" i="2"/>
  <c r="I207" i="2"/>
  <c r="I208" i="2"/>
  <c r="I209" i="2"/>
  <c r="I210" i="2"/>
  <c r="I198" i="2"/>
  <c r="F204" i="2"/>
  <c r="F205" i="2"/>
  <c r="P205" i="2"/>
  <c r="F197" i="2"/>
  <c r="F198" i="2"/>
  <c r="F199" i="2"/>
  <c r="A269" i="2"/>
  <c r="A251" i="2"/>
  <c r="A284" i="2"/>
  <c r="A281" i="2"/>
  <c r="A278" i="2"/>
  <c r="A275" i="2"/>
  <c r="A272" i="2"/>
  <c r="A257" i="2"/>
  <c r="A263" i="2"/>
  <c r="A266" i="2"/>
  <c r="A239" i="2"/>
  <c r="G264" i="2"/>
  <c r="G265" i="2"/>
  <c r="F265" i="2"/>
  <c r="F283" i="2"/>
  <c r="G246" i="2"/>
  <c r="G247" i="2"/>
  <c r="F247" i="2"/>
  <c r="F274" i="2"/>
  <c r="G261" i="2"/>
  <c r="G262" i="2"/>
  <c r="F262" i="2"/>
  <c r="P198" i="2"/>
  <c r="F271" i="2"/>
  <c r="F280" i="2"/>
  <c r="F238" i="2"/>
  <c r="G237" i="2"/>
  <c r="G238" i="2"/>
  <c r="G282" i="2"/>
  <c r="G283" i="2"/>
  <c r="G267" i="2"/>
  <c r="G268" i="2"/>
  <c r="P199" i="2"/>
  <c r="F200" i="2"/>
  <c r="G196" i="2"/>
  <c r="G270" i="2"/>
  <c r="G271" i="2"/>
  <c r="F277" i="2"/>
  <c r="G276" i="2"/>
  <c r="G277" i="2"/>
  <c r="G273" i="2"/>
  <c r="G274" i="2"/>
  <c r="G255" i="2"/>
  <c r="G256" i="2"/>
  <c r="G279" i="2"/>
  <c r="G280" i="2"/>
  <c r="F250" i="2"/>
  <c r="G249" i="2"/>
  <c r="G250" i="2"/>
  <c r="F268" i="2"/>
  <c r="F256" i="2"/>
  <c r="E195" i="2"/>
  <c r="E194" i="2"/>
  <c r="E193" i="2"/>
  <c r="E192" i="2"/>
  <c r="I192" i="2"/>
  <c r="P200" i="2"/>
  <c r="F201" i="2"/>
  <c r="P201" i="2"/>
  <c r="L196" i="2"/>
  <c r="J196" i="2"/>
  <c r="I193" i="2"/>
  <c r="I194" i="2"/>
  <c r="I195" i="2"/>
  <c r="I199" i="2"/>
  <c r="I200" i="2"/>
  <c r="I201" i="2"/>
  <c r="I202" i="2"/>
  <c r="F192" i="2"/>
  <c r="F193" i="2"/>
  <c r="P193" i="2"/>
  <c r="N46" i="12"/>
  <c r="D46" i="12"/>
  <c r="E46" i="12"/>
  <c r="F46" i="12"/>
  <c r="F202" i="2"/>
  <c r="N196" i="2"/>
  <c r="N197" i="2"/>
  <c r="L197" i="2"/>
  <c r="M196" i="2"/>
  <c r="F194" i="2"/>
  <c r="P194" i="2"/>
  <c r="I46" i="12"/>
  <c r="J46" i="12"/>
  <c r="K46" i="12"/>
  <c r="D163" i="8"/>
  <c r="D164" i="8"/>
  <c r="D165" i="8"/>
  <c r="P202" i="2"/>
  <c r="E307" i="2"/>
  <c r="E301" i="2"/>
  <c r="E298" i="2"/>
  <c r="E304" i="2"/>
  <c r="F195" i="2"/>
  <c r="P195" i="2"/>
  <c r="N198" i="2"/>
  <c r="L198" i="2"/>
  <c r="F206" i="2"/>
  <c r="M39" i="6"/>
  <c r="L39" i="6"/>
  <c r="K39" i="6"/>
  <c r="D42" i="6"/>
  <c r="E41" i="6"/>
  <c r="D41" i="6"/>
  <c r="D39" i="6"/>
  <c r="X39" i="6"/>
  <c r="X20" i="6"/>
  <c r="L42" i="6"/>
  <c r="AB39" i="6"/>
  <c r="P39" i="6"/>
  <c r="H39" i="6"/>
  <c r="BH39" i="6"/>
  <c r="BD39" i="6"/>
  <c r="AZ39" i="6"/>
  <c r="AV39" i="6"/>
  <c r="AR39" i="6"/>
  <c r="AN39" i="6"/>
  <c r="AJ39" i="6"/>
  <c r="AF39" i="6"/>
  <c r="U39" i="6"/>
  <c r="T39" i="6"/>
  <c r="AV20" i="6"/>
  <c r="AR20" i="6"/>
  <c r="AN20" i="6"/>
  <c r="AJ20" i="6"/>
  <c r="AF20" i="6"/>
  <c r="U20" i="6"/>
  <c r="T20" i="6"/>
  <c r="AB20" i="6"/>
  <c r="P20" i="6"/>
  <c r="M20" i="6"/>
  <c r="L20" i="6"/>
  <c r="I20" i="6"/>
  <c r="H20" i="6"/>
  <c r="G20" i="6"/>
  <c r="D20" i="6"/>
  <c r="H304" i="2"/>
  <c r="I304" i="2"/>
  <c r="I298" i="2"/>
  <c r="H298" i="2"/>
  <c r="H301" i="2"/>
  <c r="I301" i="2"/>
  <c r="I307" i="2"/>
  <c r="H307" i="2"/>
  <c r="G191" i="2"/>
  <c r="L191" i="2"/>
  <c r="M191" i="2"/>
  <c r="P206" i="2"/>
  <c r="F207" i="2"/>
  <c r="A242" i="2"/>
  <c r="A245" i="2"/>
  <c r="A260" i="2"/>
  <c r="A294" i="2"/>
  <c r="A291" i="2"/>
  <c r="A288" i="2"/>
  <c r="N191" i="2"/>
  <c r="N192" i="2"/>
  <c r="N193" i="2"/>
  <c r="N194" i="2"/>
  <c r="N195" i="2"/>
  <c r="N199" i="2"/>
  <c r="N200" i="2"/>
  <c r="N201" i="2"/>
  <c r="N202" i="2"/>
  <c r="L192" i="2"/>
  <c r="L193" i="2"/>
  <c r="L194" i="2"/>
  <c r="L195" i="2"/>
  <c r="L199" i="2"/>
  <c r="L200" i="2"/>
  <c r="L201" i="2"/>
  <c r="L202" i="2"/>
  <c r="G221" i="2"/>
  <c r="G222" i="2"/>
  <c r="F222" i="2"/>
  <c r="G243" i="2"/>
  <c r="G244" i="2"/>
  <c r="F244" i="2"/>
  <c r="G286" i="2"/>
  <c r="G287" i="2"/>
  <c r="F287" i="2"/>
  <c r="G289" i="2"/>
  <c r="G290" i="2"/>
  <c r="F234" i="2"/>
  <c r="G233" i="2"/>
  <c r="G234" i="2"/>
  <c r="F219" i="2"/>
  <c r="G218" i="2"/>
  <c r="G219" i="2"/>
  <c r="F290" i="2"/>
  <c r="F208" i="2"/>
  <c r="G203" i="2"/>
  <c r="P207" i="2"/>
  <c r="F231" i="2"/>
  <c r="G230" i="2"/>
  <c r="G231" i="2"/>
  <c r="F293" i="2"/>
  <c r="G292" i="2"/>
  <c r="G293" i="2"/>
  <c r="G215" i="2"/>
  <c r="G216" i="2"/>
  <c r="F216" i="2"/>
  <c r="G224" i="2"/>
  <c r="G225" i="2"/>
  <c r="F225" i="2"/>
  <c r="G258" i="2"/>
  <c r="G259" i="2"/>
  <c r="F241" i="2"/>
  <c r="G240" i="2"/>
  <c r="G241" i="2"/>
  <c r="L203" i="2"/>
  <c r="J203" i="2"/>
  <c r="G227" i="2"/>
  <c r="G228" i="2"/>
  <c r="F209" i="2"/>
  <c r="P208" i="2"/>
  <c r="F228" i="2"/>
  <c r="F259" i="2"/>
  <c r="J115" i="14"/>
  <c r="I105" i="14"/>
  <c r="I99" i="14"/>
  <c r="I93" i="14"/>
  <c r="A93" i="14"/>
  <c r="I117" i="14"/>
  <c r="A117" i="14"/>
  <c r="I108" i="14"/>
  <c r="I102" i="14"/>
  <c r="I96" i="14"/>
  <c r="I106" i="14"/>
  <c r="I100" i="14"/>
  <c r="I94" i="14"/>
  <c r="A94" i="14"/>
  <c r="I104" i="14"/>
  <c r="I98" i="14"/>
  <c r="A98" i="14"/>
  <c r="A100" i="14"/>
  <c r="F100" i="14"/>
  <c r="I107" i="14"/>
  <c r="I101" i="14"/>
  <c r="I95" i="14"/>
  <c r="A95" i="14"/>
  <c r="I118" i="14"/>
  <c r="A118" i="14"/>
  <c r="I119" i="14"/>
  <c r="A119" i="14"/>
  <c r="I120" i="14"/>
  <c r="A120" i="14"/>
  <c r="I116" i="14"/>
  <c r="I122" i="14"/>
  <c r="A122" i="14"/>
  <c r="K112" i="14"/>
  <c r="K113" i="14"/>
  <c r="K114" i="14"/>
  <c r="K115" i="14"/>
  <c r="K116" i="14"/>
  <c r="K111" i="14"/>
  <c r="A116" i="14"/>
  <c r="I86" i="14"/>
  <c r="A86" i="14"/>
  <c r="I85" i="14"/>
  <c r="A85" i="14"/>
  <c r="I84" i="14"/>
  <c r="A84" i="14"/>
  <c r="G84" i="14"/>
  <c r="I83" i="14"/>
  <c r="A83" i="14"/>
  <c r="B83" i="14"/>
  <c r="K82" i="14"/>
  <c r="I82" i="14"/>
  <c r="A82" i="14"/>
  <c r="K81" i="14"/>
  <c r="J81" i="14"/>
  <c r="L81" i="14"/>
  <c r="A81" i="14"/>
  <c r="G81" i="14"/>
  <c r="F81" i="14"/>
  <c r="J80" i="14"/>
  <c r="K80" i="14"/>
  <c r="L80" i="14"/>
  <c r="A80" i="14"/>
  <c r="F80" i="14"/>
  <c r="B80" i="14"/>
  <c r="C80" i="14"/>
  <c r="K79" i="14"/>
  <c r="J79" i="14"/>
  <c r="A79" i="14"/>
  <c r="G79" i="14"/>
  <c r="C79" i="14"/>
  <c r="H79" i="14"/>
  <c r="K78" i="14"/>
  <c r="J78" i="14"/>
  <c r="L78" i="14"/>
  <c r="A78" i="14"/>
  <c r="H78" i="14"/>
  <c r="F78" i="14"/>
  <c r="A77" i="14"/>
  <c r="G77" i="14"/>
  <c r="I76" i="14"/>
  <c r="A76" i="14"/>
  <c r="I75" i="14"/>
  <c r="I70" i="14"/>
  <c r="A75" i="14"/>
  <c r="E75" i="14"/>
  <c r="I74" i="14"/>
  <c r="I69" i="14"/>
  <c r="I73" i="14"/>
  <c r="A73" i="14"/>
  <c r="I72" i="14"/>
  <c r="A72" i="14"/>
  <c r="I71" i="14"/>
  <c r="I66" i="14"/>
  <c r="A66" i="14"/>
  <c r="I68" i="14"/>
  <c r="I63" i="14"/>
  <c r="A63" i="14"/>
  <c r="I67" i="14"/>
  <c r="A67" i="14"/>
  <c r="B67" i="14"/>
  <c r="I62" i="14"/>
  <c r="A62" i="14"/>
  <c r="G62" i="14"/>
  <c r="A104" i="14"/>
  <c r="G104" i="14"/>
  <c r="J114" i="14"/>
  <c r="A115" i="14"/>
  <c r="J113" i="14"/>
  <c r="A113" i="14"/>
  <c r="C113" i="14"/>
  <c r="A112" i="14"/>
  <c r="H112" i="14"/>
  <c r="A110" i="14"/>
  <c r="G110" i="14"/>
  <c r="J33" i="14"/>
  <c r="K33" i="14"/>
  <c r="L33" i="14"/>
  <c r="K32" i="14"/>
  <c r="K31" i="14"/>
  <c r="K13" i="14"/>
  <c r="K12" i="14"/>
  <c r="J12" i="14"/>
  <c r="L12" i="14"/>
  <c r="K54" i="14"/>
  <c r="K55" i="14"/>
  <c r="K56" i="14"/>
  <c r="K53" i="14"/>
  <c r="J54" i="14"/>
  <c r="L54" i="14"/>
  <c r="J55" i="14"/>
  <c r="J53" i="14"/>
  <c r="L53" i="14"/>
  <c r="E23" i="14"/>
  <c r="J32" i="14"/>
  <c r="L32" i="14"/>
  <c r="J31" i="14"/>
  <c r="L31" i="14"/>
  <c r="I13" i="14"/>
  <c r="J13" i="14"/>
  <c r="I10" i="14"/>
  <c r="I8" i="14"/>
  <c r="I6" i="14"/>
  <c r="I9" i="14"/>
  <c r="A9" i="14"/>
  <c r="A10" i="14"/>
  <c r="I15" i="14"/>
  <c r="I17" i="14"/>
  <c r="A17" i="14"/>
  <c r="I14" i="14"/>
  <c r="I16" i="14"/>
  <c r="A16" i="14"/>
  <c r="A14" i="14"/>
  <c r="A13" i="14"/>
  <c r="A12" i="14"/>
  <c r="G12" i="14"/>
  <c r="C12" i="14"/>
  <c r="A11" i="14"/>
  <c r="G11" i="14"/>
  <c r="C11" i="14"/>
  <c r="H11" i="14"/>
  <c r="I51" i="14"/>
  <c r="I47" i="14"/>
  <c r="A47" i="14"/>
  <c r="H47" i="14"/>
  <c r="I48" i="14"/>
  <c r="I44" i="14"/>
  <c r="I49" i="14"/>
  <c r="I45" i="14"/>
  <c r="I50" i="14"/>
  <c r="A50" i="14"/>
  <c r="A51" i="14"/>
  <c r="I57" i="14"/>
  <c r="A57" i="14"/>
  <c r="G57" i="14"/>
  <c r="I58" i="14"/>
  <c r="A58" i="14"/>
  <c r="I56" i="14"/>
  <c r="A56" i="14"/>
  <c r="H56" i="14"/>
  <c r="A55" i="14"/>
  <c r="H55" i="14"/>
  <c r="A54" i="14"/>
  <c r="B54" i="14"/>
  <c r="A53" i="14"/>
  <c r="C53" i="14"/>
  <c r="A52" i="14"/>
  <c r="G52" i="14"/>
  <c r="F52" i="14"/>
  <c r="C52" i="14"/>
  <c r="H52" i="14"/>
  <c r="B30" i="14"/>
  <c r="B32" i="14"/>
  <c r="G30" i="14"/>
  <c r="P209" i="2"/>
  <c r="F210" i="2"/>
  <c r="N203" i="2"/>
  <c r="M203" i="2"/>
  <c r="L204" i="2"/>
  <c r="L205" i="2"/>
  <c r="L206" i="2"/>
  <c r="L207" i="2"/>
  <c r="L208" i="2"/>
  <c r="L209" i="2"/>
  <c r="L210" i="2"/>
  <c r="B73" i="14"/>
  <c r="E73" i="14"/>
  <c r="B76" i="14"/>
  <c r="E76" i="14"/>
  <c r="C76" i="14"/>
  <c r="A70" i="14"/>
  <c r="E70" i="14"/>
  <c r="I65" i="14"/>
  <c r="A65" i="14"/>
  <c r="G65" i="14"/>
  <c r="H31" i="14"/>
  <c r="F11" i="14"/>
  <c r="I7" i="14"/>
  <c r="I5" i="14"/>
  <c r="E67" i="14"/>
  <c r="E83" i="14"/>
  <c r="G78" i="14"/>
  <c r="B79" i="14"/>
  <c r="H30" i="14"/>
  <c r="J56" i="14"/>
  <c r="L56" i="14"/>
  <c r="B31" i="14"/>
  <c r="B52" i="14"/>
  <c r="B11" i="14"/>
  <c r="F12" i="14"/>
  <c r="L55" i="14"/>
  <c r="E79" i="14"/>
  <c r="E80" i="14"/>
  <c r="I92" i="14"/>
  <c r="A92" i="14"/>
  <c r="F92" i="14"/>
  <c r="H32" i="14"/>
  <c r="E52" i="14"/>
  <c r="E11" i="14"/>
  <c r="L13" i="14"/>
  <c r="L114" i="14"/>
  <c r="C67" i="14"/>
  <c r="F75" i="14"/>
  <c r="L79" i="14"/>
  <c r="G80" i="14"/>
  <c r="C83" i="14"/>
  <c r="J111" i="14"/>
  <c r="J112" i="14"/>
  <c r="L112" i="14"/>
  <c r="A114" i="14"/>
  <c r="E114" i="14"/>
  <c r="I121" i="14"/>
  <c r="A121" i="14"/>
  <c r="F121" i="14"/>
  <c r="I109" i="14"/>
  <c r="I103" i="14"/>
  <c r="I97" i="14"/>
  <c r="A97" i="14"/>
  <c r="F97" i="14"/>
  <c r="A111" i="14"/>
  <c r="F111" i="14"/>
  <c r="F94" i="14"/>
  <c r="G94" i="14"/>
  <c r="H94" i="14"/>
  <c r="B94" i="14"/>
  <c r="C94" i="14"/>
  <c r="E94" i="14"/>
  <c r="H93" i="14"/>
  <c r="B93" i="14"/>
  <c r="C93" i="14"/>
  <c r="E93" i="14"/>
  <c r="F93" i="14"/>
  <c r="G93" i="14"/>
  <c r="B86" i="14"/>
  <c r="E86" i="14"/>
  <c r="C86" i="14"/>
  <c r="E72" i="14"/>
  <c r="F72" i="14"/>
  <c r="C72" i="14"/>
  <c r="G72" i="14"/>
  <c r="A74" i="14"/>
  <c r="G74" i="14"/>
  <c r="G75" i="14"/>
  <c r="A68" i="14"/>
  <c r="G68" i="14"/>
  <c r="A71" i="14"/>
  <c r="G71" i="14"/>
  <c r="C73" i="14"/>
  <c r="C75" i="14"/>
  <c r="E122" i="14"/>
  <c r="F122" i="14"/>
  <c r="G122" i="14"/>
  <c r="H122" i="14"/>
  <c r="B122" i="14"/>
  <c r="C122" i="14"/>
  <c r="C121" i="14"/>
  <c r="A99" i="14"/>
  <c r="B99" i="14"/>
  <c r="A96" i="14"/>
  <c r="B96" i="14"/>
  <c r="A101" i="14"/>
  <c r="G101" i="14"/>
  <c r="L115" i="14"/>
  <c r="L113" i="14"/>
  <c r="J116" i="14"/>
  <c r="L116" i="14"/>
  <c r="I64" i="14"/>
  <c r="A64" i="14"/>
  <c r="A69" i="14"/>
  <c r="E63" i="14"/>
  <c r="C63" i="14"/>
  <c r="F63" i="14"/>
  <c r="B63" i="14"/>
  <c r="G63" i="14"/>
  <c r="H63" i="14"/>
  <c r="E66" i="14"/>
  <c r="C66" i="14"/>
  <c r="F66" i="14"/>
  <c r="B66" i="14"/>
  <c r="H66" i="14"/>
  <c r="G66" i="14"/>
  <c r="H82" i="14"/>
  <c r="G82" i="14"/>
  <c r="F82" i="14"/>
  <c r="C82" i="14"/>
  <c r="E82" i="14"/>
  <c r="B82" i="14"/>
  <c r="E85" i="14"/>
  <c r="C85" i="14"/>
  <c r="G85" i="14"/>
  <c r="B85" i="14"/>
  <c r="F85" i="14"/>
  <c r="H85" i="14"/>
  <c r="B65" i="14"/>
  <c r="H81" i="14"/>
  <c r="J82" i="14"/>
  <c r="L82" i="14"/>
  <c r="B84" i="14"/>
  <c r="I87" i="14"/>
  <c r="A87" i="14"/>
  <c r="C62" i="14"/>
  <c r="C65" i="14"/>
  <c r="F67" i="14"/>
  <c r="H72" i="14"/>
  <c r="F73" i="14"/>
  <c r="H75" i="14"/>
  <c r="F76" i="14"/>
  <c r="C77" i="14"/>
  <c r="B78" i="14"/>
  <c r="B81" i="14"/>
  <c r="F83" i="14"/>
  <c r="C84" i="14"/>
  <c r="F86" i="14"/>
  <c r="H62" i="14"/>
  <c r="H65" i="14"/>
  <c r="H68" i="14"/>
  <c r="H71" i="14"/>
  <c r="H74" i="14"/>
  <c r="H77" i="14"/>
  <c r="H28" i="14"/>
  <c r="B77" i="14"/>
  <c r="E62" i="14"/>
  <c r="E65" i="14"/>
  <c r="G67" i="14"/>
  <c r="E71" i="14"/>
  <c r="B72" i="14"/>
  <c r="G73" i="14"/>
  <c r="E74" i="14"/>
  <c r="B75" i="14"/>
  <c r="G76" i="14"/>
  <c r="E77" i="14"/>
  <c r="C78" i="14"/>
  <c r="F79" i="14"/>
  <c r="H80" i="14"/>
  <c r="C81" i="14"/>
  <c r="G83" i="14"/>
  <c r="E84" i="14"/>
  <c r="G86" i="14"/>
  <c r="H84" i="14"/>
  <c r="B71" i="14"/>
  <c r="F62" i="14"/>
  <c r="F65" i="14"/>
  <c r="H67" i="14"/>
  <c r="F68" i="14"/>
  <c r="F71" i="14"/>
  <c r="H73" i="14"/>
  <c r="F74" i="14"/>
  <c r="H76" i="14"/>
  <c r="F77" i="14"/>
  <c r="E78" i="14"/>
  <c r="E81" i="14"/>
  <c r="H83" i="14"/>
  <c r="F84" i="14"/>
  <c r="H86" i="14"/>
  <c r="B62" i="14"/>
  <c r="B74" i="14"/>
  <c r="B55" i="14"/>
  <c r="C55" i="14"/>
  <c r="E55" i="14"/>
  <c r="G55" i="14"/>
  <c r="G54" i="14"/>
  <c r="F120" i="14"/>
  <c r="G120" i="14"/>
  <c r="H120" i="14"/>
  <c r="B120" i="14"/>
  <c r="C120" i="14"/>
  <c r="E120" i="14"/>
  <c r="H119" i="14"/>
  <c r="B119" i="14"/>
  <c r="C119" i="14"/>
  <c r="E119" i="14"/>
  <c r="F119" i="14"/>
  <c r="G119" i="14"/>
  <c r="C118" i="14"/>
  <c r="E118" i="14"/>
  <c r="F118" i="14"/>
  <c r="G118" i="14"/>
  <c r="H118" i="14"/>
  <c r="B118" i="14"/>
  <c r="F117" i="14"/>
  <c r="G117" i="14"/>
  <c r="H117" i="14"/>
  <c r="B117" i="14"/>
  <c r="C117" i="14"/>
  <c r="E117" i="14"/>
  <c r="E95" i="14"/>
  <c r="G95" i="14"/>
  <c r="H95" i="14"/>
  <c r="B95" i="14"/>
  <c r="C95" i="14"/>
  <c r="F95" i="14"/>
  <c r="A49" i="14"/>
  <c r="E49" i="14"/>
  <c r="I46" i="14"/>
  <c r="A46" i="14"/>
  <c r="C46" i="14"/>
  <c r="C98" i="14"/>
  <c r="E98" i="14"/>
  <c r="F98" i="14"/>
  <c r="G98" i="14"/>
  <c r="H98" i="14"/>
  <c r="B98" i="14"/>
  <c r="G100" i="14"/>
  <c r="C100" i="14"/>
  <c r="H100" i="14"/>
  <c r="E100" i="14"/>
  <c r="B100" i="14"/>
  <c r="B27" i="14"/>
  <c r="A48" i="14"/>
  <c r="F48" i="14"/>
  <c r="A107" i="14"/>
  <c r="G107" i="14"/>
  <c r="C112" i="14"/>
  <c r="F112" i="14"/>
  <c r="E113" i="14"/>
  <c r="F113" i="14"/>
  <c r="G113" i="14"/>
  <c r="E112" i="14"/>
  <c r="B112" i="14"/>
  <c r="A102" i="14"/>
  <c r="A105" i="14"/>
  <c r="H105" i="14"/>
  <c r="A108" i="14"/>
  <c r="C108" i="14"/>
  <c r="L111" i="14"/>
  <c r="G116" i="14"/>
  <c r="H116" i="14"/>
  <c r="F114" i="14"/>
  <c r="A45" i="14"/>
  <c r="B45" i="14"/>
  <c r="I41" i="14"/>
  <c r="A41" i="14"/>
  <c r="E41" i="14"/>
  <c r="A44" i="14"/>
  <c r="C44" i="14"/>
  <c r="I40" i="14"/>
  <c r="A40" i="14"/>
  <c r="E40" i="14"/>
  <c r="A8" i="14"/>
  <c r="H8" i="14"/>
  <c r="I43" i="14"/>
  <c r="A43" i="14"/>
  <c r="G43" i="14"/>
  <c r="B115" i="14"/>
  <c r="G115" i="14"/>
  <c r="F115" i="14"/>
  <c r="E115" i="14"/>
  <c r="C115" i="14"/>
  <c r="H115" i="14"/>
  <c r="H104" i="14"/>
  <c r="B110" i="14"/>
  <c r="B116" i="14"/>
  <c r="C104" i="14"/>
  <c r="C116" i="14"/>
  <c r="E101" i="14"/>
  <c r="E104" i="14"/>
  <c r="E110" i="14"/>
  <c r="H113" i="14"/>
  <c r="E116" i="14"/>
  <c r="F101" i="14"/>
  <c r="F104" i="14"/>
  <c r="F110" i="14"/>
  <c r="G112" i="14"/>
  <c r="B113" i="14"/>
  <c r="F116" i="14"/>
  <c r="H110" i="14"/>
  <c r="B101" i="14"/>
  <c r="B104" i="14"/>
  <c r="C101" i="14"/>
  <c r="C110" i="14"/>
  <c r="B114" i="14"/>
  <c r="F22" i="14"/>
  <c r="H27" i="14"/>
  <c r="E29" i="14"/>
  <c r="B29" i="14"/>
  <c r="H29" i="14"/>
  <c r="G34" i="14"/>
  <c r="H34" i="14"/>
  <c r="B34" i="14"/>
  <c r="E36" i="14"/>
  <c r="H36" i="14"/>
  <c r="B36" i="14"/>
  <c r="B35" i="14"/>
  <c r="H35" i="14"/>
  <c r="I4" i="14"/>
  <c r="A6" i="14"/>
  <c r="C6" i="14"/>
  <c r="I3" i="14"/>
  <c r="A3" i="14"/>
  <c r="B3" i="14"/>
  <c r="A5" i="14"/>
  <c r="A7" i="14"/>
  <c r="B7" i="14"/>
  <c r="C9" i="14"/>
  <c r="E9" i="14"/>
  <c r="F9" i="14"/>
  <c r="G9" i="14"/>
  <c r="B10" i="14"/>
  <c r="C10" i="14"/>
  <c r="G10" i="14"/>
  <c r="F10" i="14"/>
  <c r="E10" i="14"/>
  <c r="H17" i="14"/>
  <c r="F17" i="14"/>
  <c r="H16" i="14"/>
  <c r="G16" i="14"/>
  <c r="B16" i="14"/>
  <c r="A15" i="14"/>
  <c r="C15" i="14"/>
  <c r="H14" i="14"/>
  <c r="C14" i="14"/>
  <c r="B14" i="14"/>
  <c r="G14" i="14"/>
  <c r="E14" i="14"/>
  <c r="F14" i="14"/>
  <c r="B13" i="14"/>
  <c r="E13" i="14"/>
  <c r="C13" i="14"/>
  <c r="F13" i="14"/>
  <c r="G13" i="14"/>
  <c r="E12" i="14"/>
  <c r="H9" i="14"/>
  <c r="H12" i="14"/>
  <c r="C16" i="14"/>
  <c r="B17" i="14"/>
  <c r="B9" i="14"/>
  <c r="H10" i="14"/>
  <c r="B12" i="14"/>
  <c r="H13" i="14"/>
  <c r="E16" i="14"/>
  <c r="C17" i="14"/>
  <c r="E8" i="14"/>
  <c r="F16" i="14"/>
  <c r="E17" i="14"/>
  <c r="G8" i="14"/>
  <c r="G17" i="14"/>
  <c r="F40" i="14"/>
  <c r="G40" i="14"/>
  <c r="B40" i="14"/>
  <c r="C40" i="14"/>
  <c r="H23" i="14"/>
  <c r="B23" i="14"/>
  <c r="H46" i="14"/>
  <c r="C50" i="14"/>
  <c r="G50" i="14"/>
  <c r="F50" i="14"/>
  <c r="E50" i="14"/>
  <c r="E43" i="14"/>
  <c r="C45" i="14"/>
  <c r="E45" i="14"/>
  <c r="F49" i="14"/>
  <c r="G45" i="14"/>
  <c r="G49" i="14"/>
  <c r="B51" i="14"/>
  <c r="E51" i="14"/>
  <c r="C51" i="14"/>
  <c r="F51" i="14"/>
  <c r="G51" i="14"/>
  <c r="E58" i="14"/>
  <c r="H58" i="14"/>
  <c r="G58" i="14"/>
  <c r="F58" i="14"/>
  <c r="F55" i="14"/>
  <c r="E54" i="14"/>
  <c r="F54" i="14"/>
  <c r="C54" i="14"/>
  <c r="E53" i="14"/>
  <c r="F53" i="14"/>
  <c r="G53" i="14"/>
  <c r="B56" i="14"/>
  <c r="C47" i="14"/>
  <c r="H49" i="14"/>
  <c r="B57" i="14"/>
  <c r="E47" i="14"/>
  <c r="C57" i="14"/>
  <c r="B58" i="14"/>
  <c r="B47" i="14"/>
  <c r="H57" i="14"/>
  <c r="B49" i="14"/>
  <c r="F47" i="14"/>
  <c r="C49" i="14"/>
  <c r="H51" i="14"/>
  <c r="B53" i="14"/>
  <c r="H54" i="14"/>
  <c r="F56" i="14"/>
  <c r="E57" i="14"/>
  <c r="C58" i="14"/>
  <c r="C56" i="14"/>
  <c r="H50" i="14"/>
  <c r="H53" i="14"/>
  <c r="E56" i="14"/>
  <c r="B50" i="14"/>
  <c r="G47" i="14"/>
  <c r="G56" i="14"/>
  <c r="F57" i="14"/>
  <c r="E27" i="14"/>
  <c r="G35" i="14"/>
  <c r="G32" i="14"/>
  <c r="G31" i="14"/>
  <c r="E31" i="14"/>
  <c r="E30" i="14"/>
  <c r="F35" i="14"/>
  <c r="E35" i="14"/>
  <c r="G29" i="14"/>
  <c r="G23" i="14"/>
  <c r="F29" i="14"/>
  <c r="F23" i="14"/>
  <c r="G36" i="14"/>
  <c r="F31" i="14"/>
  <c r="F34" i="14"/>
  <c r="E34" i="14"/>
  <c r="E28" i="14"/>
  <c r="F32" i="14"/>
  <c r="E32" i="14"/>
  <c r="G27" i="14"/>
  <c r="F36" i="14"/>
  <c r="F30" i="14"/>
  <c r="F27" i="14"/>
  <c r="M66" i="2"/>
  <c r="M65" i="2"/>
  <c r="M64" i="2"/>
  <c r="M63" i="2"/>
  <c r="M57" i="2"/>
  <c r="M56" i="2"/>
  <c r="M55" i="2"/>
  <c r="M54" i="2"/>
  <c r="P210" i="2"/>
  <c r="E320" i="2"/>
  <c r="E311" i="2"/>
  <c r="E317" i="2"/>
  <c r="E314" i="2"/>
  <c r="E7" i="14"/>
  <c r="C92" i="14"/>
  <c r="G70" i="14"/>
  <c r="F70" i="14"/>
  <c r="B92" i="14"/>
  <c r="B70" i="14"/>
  <c r="E92" i="14"/>
  <c r="E68" i="14"/>
  <c r="C68" i="14"/>
  <c r="H92" i="14"/>
  <c r="C70" i="14"/>
  <c r="G92" i="14"/>
  <c r="F45" i="14"/>
  <c r="B68" i="14"/>
  <c r="H70" i="14"/>
  <c r="C74" i="14"/>
  <c r="C114" i="14"/>
  <c r="H114" i="14"/>
  <c r="G114" i="14"/>
  <c r="G121" i="14"/>
  <c r="C97" i="14"/>
  <c r="B97" i="14"/>
  <c r="E121" i="14"/>
  <c r="B121" i="14"/>
  <c r="H121" i="14"/>
  <c r="E97" i="14"/>
  <c r="G97" i="14"/>
  <c r="H97" i="14"/>
  <c r="A109" i="14"/>
  <c r="H109" i="14"/>
  <c r="I91" i="14"/>
  <c r="A91" i="14"/>
  <c r="C91" i="14"/>
  <c r="H99" i="14"/>
  <c r="E111" i="14"/>
  <c r="C111" i="14"/>
  <c r="B111" i="14"/>
  <c r="H111" i="14"/>
  <c r="G111" i="14"/>
  <c r="C105" i="14"/>
  <c r="E26" i="14"/>
  <c r="G44" i="14"/>
  <c r="E44" i="14"/>
  <c r="H44" i="14"/>
  <c r="B26" i="14"/>
  <c r="F26" i="14"/>
  <c r="B44" i="14"/>
  <c r="B46" i="14"/>
  <c r="H26" i="14"/>
  <c r="G26" i="14"/>
  <c r="F44" i="14"/>
  <c r="F46" i="14"/>
  <c r="C71" i="14"/>
  <c r="C107" i="14"/>
  <c r="E107" i="14"/>
  <c r="B105" i="14"/>
  <c r="G96" i="14"/>
  <c r="E96" i="14"/>
  <c r="H101" i="14"/>
  <c r="C96" i="14"/>
  <c r="H96" i="14"/>
  <c r="G99" i="14"/>
  <c r="E99" i="14"/>
  <c r="B108" i="14"/>
  <c r="F99" i="14"/>
  <c r="C99" i="14"/>
  <c r="B107" i="14"/>
  <c r="H107" i="14"/>
  <c r="F96" i="14"/>
  <c r="G87" i="14"/>
  <c r="F87" i="14"/>
  <c r="H87" i="14"/>
  <c r="E87" i="14"/>
  <c r="B87" i="14"/>
  <c r="C87" i="14"/>
  <c r="B64" i="14"/>
  <c r="C64" i="14"/>
  <c r="H64" i="14"/>
  <c r="E64" i="14"/>
  <c r="G64" i="14"/>
  <c r="F64" i="14"/>
  <c r="F28" i="14"/>
  <c r="H40" i="14"/>
  <c r="C41" i="14"/>
  <c r="C8" i="14"/>
  <c r="B8" i="14"/>
  <c r="H45" i="14"/>
  <c r="E46" i="14"/>
  <c r="E69" i="14"/>
  <c r="C69" i="14"/>
  <c r="F69" i="14"/>
  <c r="B69" i="14"/>
  <c r="H69" i="14"/>
  <c r="G69" i="14"/>
  <c r="G28" i="14"/>
  <c r="B28" i="14"/>
  <c r="G46" i="14"/>
  <c r="I42" i="14"/>
  <c r="A42" i="14"/>
  <c r="G42" i="14"/>
  <c r="H43" i="14"/>
  <c r="B48" i="14"/>
  <c r="H48" i="14"/>
  <c r="B41" i="14"/>
  <c r="B15" i="14"/>
  <c r="G6" i="14"/>
  <c r="H41" i="14"/>
  <c r="C48" i="14"/>
  <c r="E48" i="14"/>
  <c r="G41" i="14"/>
  <c r="H6" i="14"/>
  <c r="C7" i="14"/>
  <c r="F41" i="14"/>
  <c r="G48" i="14"/>
  <c r="F107" i="14"/>
  <c r="H108" i="14"/>
  <c r="A106" i="14"/>
  <c r="A103" i="14"/>
  <c r="E102" i="14"/>
  <c r="G102" i="14"/>
  <c r="F102" i="14"/>
  <c r="C102" i="14"/>
  <c r="H102" i="14"/>
  <c r="E108" i="14"/>
  <c r="G108" i="14"/>
  <c r="F108" i="14"/>
  <c r="B102" i="14"/>
  <c r="E105" i="14"/>
  <c r="G105" i="14"/>
  <c r="F105" i="14"/>
  <c r="C43" i="14"/>
  <c r="B43" i="14"/>
  <c r="F43" i="14"/>
  <c r="F15" i="14"/>
  <c r="G15" i="14"/>
  <c r="F8" i="14"/>
  <c r="H22" i="14"/>
  <c r="B22" i="14"/>
  <c r="B25" i="14"/>
  <c r="H25" i="14"/>
  <c r="G25" i="14"/>
  <c r="G22" i="14"/>
  <c r="E25" i="14"/>
  <c r="E22" i="14"/>
  <c r="F25" i="14"/>
  <c r="B33" i="14"/>
  <c r="H33" i="14"/>
  <c r="E33" i="14"/>
  <c r="G33" i="14"/>
  <c r="F33" i="14"/>
  <c r="H5" i="14"/>
  <c r="B5" i="14"/>
  <c r="G5" i="14"/>
  <c r="F5" i="14"/>
  <c r="E5" i="14"/>
  <c r="C5" i="14"/>
  <c r="C3" i="14"/>
  <c r="F3" i="14"/>
  <c r="G3" i="14"/>
  <c r="E3" i="14"/>
  <c r="E6" i="14"/>
  <c r="A4" i="14"/>
  <c r="I2" i="14"/>
  <c r="A2" i="14"/>
  <c r="H3" i="14"/>
  <c r="H7" i="14"/>
  <c r="G7" i="14"/>
  <c r="B6" i="14"/>
  <c r="F7" i="14"/>
  <c r="F6" i="14"/>
  <c r="H15" i="14"/>
  <c r="E15" i="14"/>
  <c r="M179" i="2"/>
  <c r="M178" i="2"/>
  <c r="M177" i="2"/>
  <c r="M173" i="2"/>
  <c r="M171" i="2"/>
  <c r="M82" i="2"/>
  <c r="E181" i="2"/>
  <c r="F181" i="2"/>
  <c r="E182" i="2"/>
  <c r="E183" i="2"/>
  <c r="E184" i="2"/>
  <c r="E185" i="2"/>
  <c r="E186" i="2"/>
  <c r="E187" i="2"/>
  <c r="E188" i="2"/>
  <c r="E190" i="2"/>
  <c r="E189" i="2"/>
  <c r="E44" i="2"/>
  <c r="E43" i="2"/>
  <c r="E47" i="2"/>
  <c r="E172" i="2"/>
  <c r="E88" i="2"/>
  <c r="E83" i="2"/>
  <c r="E78" i="2"/>
  <c r="I314" i="2"/>
  <c r="H314" i="2"/>
  <c r="H317" i="2"/>
  <c r="I317" i="2"/>
  <c r="I311" i="2"/>
  <c r="H311" i="2"/>
  <c r="I320" i="2"/>
  <c r="H320" i="2"/>
  <c r="F182" i="2"/>
  <c r="F183" i="2"/>
  <c r="I181" i="2"/>
  <c r="I182" i="2"/>
  <c r="I183" i="2"/>
  <c r="I184" i="2"/>
  <c r="I185" i="2"/>
  <c r="I186" i="2"/>
  <c r="I187" i="2"/>
  <c r="I188" i="2"/>
  <c r="I189" i="2"/>
  <c r="I190" i="2"/>
  <c r="H91" i="14"/>
  <c r="E91" i="14"/>
  <c r="G91" i="14"/>
  <c r="E109" i="14"/>
  <c r="G109" i="14"/>
  <c r="B109" i="14"/>
  <c r="C109" i="14"/>
  <c r="F109" i="14"/>
  <c r="F91" i="14"/>
  <c r="B91" i="14"/>
  <c r="F42" i="14"/>
  <c r="C42" i="14"/>
  <c r="E42" i="14"/>
  <c r="B42" i="14"/>
  <c r="H42" i="14"/>
  <c r="G24" i="14"/>
  <c r="H24" i="14"/>
  <c r="E24" i="14"/>
  <c r="F24" i="14"/>
  <c r="B24" i="14"/>
  <c r="H21" i="14"/>
  <c r="E21" i="14"/>
  <c r="B21" i="14"/>
  <c r="F21" i="14"/>
  <c r="G21" i="14"/>
  <c r="H106" i="14"/>
  <c r="G106" i="14"/>
  <c r="E106" i="14"/>
  <c r="C106" i="14"/>
  <c r="B106" i="14"/>
  <c r="F106" i="14"/>
  <c r="G103" i="14"/>
  <c r="F103" i="14"/>
  <c r="E103" i="14"/>
  <c r="C103" i="14"/>
  <c r="B103" i="14"/>
  <c r="H103" i="14"/>
  <c r="H2" i="14"/>
  <c r="F2" i="14"/>
  <c r="G2" i="14"/>
  <c r="B2" i="14"/>
  <c r="C2" i="14"/>
  <c r="E2" i="14"/>
  <c r="B4" i="14"/>
  <c r="G4" i="14"/>
  <c r="E4" i="14"/>
  <c r="C4" i="14"/>
  <c r="F4" i="14"/>
  <c r="H4" i="14"/>
  <c r="E62" i="2"/>
  <c r="E63" i="2"/>
  <c r="E64" i="2"/>
  <c r="E65" i="2"/>
  <c r="E66" i="2"/>
  <c r="E53" i="2"/>
  <c r="E54" i="2"/>
  <c r="E55" i="2"/>
  <c r="E56" i="2"/>
  <c r="E57" i="2"/>
  <c r="E61" i="2"/>
  <c r="E60" i="2"/>
  <c r="E59" i="2"/>
  <c r="F59" i="2"/>
  <c r="E51" i="2"/>
  <c r="E50" i="2"/>
  <c r="F50" i="2"/>
  <c r="E52" i="2"/>
  <c r="E40" i="2"/>
  <c r="F40" i="2"/>
  <c r="E41" i="2"/>
  <c r="E31" i="2"/>
  <c r="E30" i="2"/>
  <c r="E29" i="2"/>
  <c r="E28" i="2"/>
  <c r="E27" i="2"/>
  <c r="E26" i="2"/>
  <c r="F26" i="2"/>
  <c r="E68" i="2"/>
  <c r="F68" i="2"/>
  <c r="E69" i="2"/>
  <c r="I69" i="2"/>
  <c r="E70" i="2"/>
  <c r="E71" i="2"/>
  <c r="E72" i="2"/>
  <c r="E73" i="2"/>
  <c r="E42" i="2"/>
  <c r="E45" i="2"/>
  <c r="E33" i="2"/>
  <c r="F33" i="2"/>
  <c r="P33" i="2"/>
  <c r="E34" i="2"/>
  <c r="E35" i="2"/>
  <c r="E36" i="2"/>
  <c r="E38" i="2"/>
  <c r="E37" i="2"/>
  <c r="E48" i="2"/>
  <c r="E46" i="2"/>
  <c r="E75" i="2"/>
  <c r="E74" i="2"/>
  <c r="E175" i="2"/>
  <c r="I175" i="2"/>
  <c r="E176" i="2"/>
  <c r="E177" i="2"/>
  <c r="E179" i="2"/>
  <c r="E178" i="2"/>
  <c r="E82" i="2"/>
  <c r="E87" i="2"/>
  <c r="E89" i="2"/>
  <c r="E84" i="2"/>
  <c r="E79" i="2"/>
  <c r="E86" i="2"/>
  <c r="F86" i="2"/>
  <c r="E81" i="2"/>
  <c r="F81" i="2"/>
  <c r="E77" i="2"/>
  <c r="F77" i="2"/>
  <c r="M22" i="2"/>
  <c r="M23" i="2"/>
  <c r="M24" i="2"/>
  <c r="M18" i="2"/>
  <c r="M17" i="2"/>
  <c r="M16" i="2"/>
  <c r="H190" i="2"/>
  <c r="H189" i="2"/>
  <c r="H188" i="2"/>
  <c r="H187" i="2"/>
  <c r="H186" i="2"/>
  <c r="H185" i="2"/>
  <c r="H184" i="2"/>
  <c r="H183" i="2"/>
  <c r="E24" i="2"/>
  <c r="E23" i="2"/>
  <c r="E22" i="2"/>
  <c r="E21" i="2"/>
  <c r="E20" i="2"/>
  <c r="F20" i="2"/>
  <c r="E9" i="2"/>
  <c r="E10" i="2"/>
  <c r="E11" i="2"/>
  <c r="E12" i="2"/>
  <c r="E8" i="2"/>
  <c r="F8" i="2"/>
  <c r="F12" i="2"/>
  <c r="P12" i="2"/>
  <c r="E18" i="2"/>
  <c r="E17" i="2"/>
  <c r="E16" i="2"/>
  <c r="E15" i="2"/>
  <c r="E14" i="2"/>
  <c r="F14" i="2"/>
  <c r="E6" i="2"/>
  <c r="E5" i="2"/>
  <c r="E4" i="2"/>
  <c r="E3" i="2"/>
  <c r="F3" i="2"/>
  <c r="F184" i="2"/>
  <c r="F185" i="2"/>
  <c r="F186" i="2"/>
  <c r="F187" i="2"/>
  <c r="F188" i="2"/>
  <c r="F189" i="2"/>
  <c r="F190" i="2"/>
  <c r="F79" i="2"/>
  <c r="P79" i="2"/>
  <c r="F78" i="2"/>
  <c r="P78" i="2"/>
  <c r="I59" i="2"/>
  <c r="I60" i="2"/>
  <c r="I61" i="2"/>
  <c r="I62" i="2"/>
  <c r="I63" i="2"/>
  <c r="I64" i="2"/>
  <c r="I65" i="2"/>
  <c r="I66" i="2"/>
  <c r="F51" i="2"/>
  <c r="F52" i="2"/>
  <c r="I50" i="2"/>
  <c r="I51" i="2"/>
  <c r="I52" i="2"/>
  <c r="F60" i="2"/>
  <c r="F61" i="2"/>
  <c r="I68" i="2"/>
  <c r="I71" i="2"/>
  <c r="I73" i="2"/>
  <c r="F41" i="2"/>
  <c r="F42" i="2"/>
  <c r="I40" i="2"/>
  <c r="I41" i="2"/>
  <c r="I42" i="2"/>
  <c r="F34" i="2"/>
  <c r="I33" i="2"/>
  <c r="I34" i="2"/>
  <c r="I35" i="2"/>
  <c r="I36" i="2"/>
  <c r="I37" i="2"/>
  <c r="I38" i="2"/>
  <c r="I26" i="2"/>
  <c r="F175" i="2"/>
  <c r="F176" i="2"/>
  <c r="F177" i="2"/>
  <c r="F178" i="2"/>
  <c r="F179" i="2"/>
  <c r="F69" i="2"/>
  <c r="F72" i="2"/>
  <c r="F74" i="2"/>
  <c r="F75" i="2"/>
  <c r="I176" i="2"/>
  <c r="I177" i="2"/>
  <c r="I178" i="2"/>
  <c r="I179" i="2"/>
  <c r="F71" i="2"/>
  <c r="F73" i="2"/>
  <c r="F27" i="2"/>
  <c r="I72" i="2"/>
  <c r="I74" i="2"/>
  <c r="I75" i="2"/>
  <c r="F70" i="2"/>
  <c r="I170" i="2"/>
  <c r="I171" i="2"/>
  <c r="F87" i="2"/>
  <c r="F88" i="2"/>
  <c r="P88" i="2"/>
  <c r="F82" i="2"/>
  <c r="F83" i="2"/>
  <c r="P83" i="2"/>
  <c r="I81" i="2"/>
  <c r="I82" i="2"/>
  <c r="I86" i="2"/>
  <c r="I87" i="2"/>
  <c r="I91" i="2"/>
  <c r="I92" i="2"/>
  <c r="I93" i="2"/>
  <c r="I94" i="2"/>
  <c r="I95" i="2"/>
  <c r="I96" i="2"/>
  <c r="I97" i="2"/>
  <c r="F21" i="2"/>
  <c r="F22" i="2"/>
  <c r="F23" i="2"/>
  <c r="F24" i="2"/>
  <c r="K85" i="2"/>
  <c r="I14" i="2"/>
  <c r="I3" i="2"/>
  <c r="I4" i="2"/>
  <c r="I5" i="2"/>
  <c r="I6" i="2"/>
  <c r="I8" i="2"/>
  <c r="I9" i="2"/>
  <c r="I10" i="2"/>
  <c r="I11" i="2"/>
  <c r="I20" i="2"/>
  <c r="I21" i="2"/>
  <c r="I22" i="2"/>
  <c r="I23" i="2"/>
  <c r="I24" i="2"/>
  <c r="K80" i="2"/>
  <c r="F9" i="2"/>
  <c r="F10" i="2"/>
  <c r="F4" i="2"/>
  <c r="G2" i="2"/>
  <c r="F15" i="2"/>
  <c r="D50" i="16"/>
  <c r="F50" i="16"/>
  <c r="C48" i="16"/>
  <c r="F48" i="16"/>
  <c r="D48" i="16"/>
  <c r="G48" i="16"/>
  <c r="E65" i="16"/>
  <c r="G65" i="16"/>
  <c r="C67" i="16"/>
  <c r="E67" i="16"/>
  <c r="G67" i="16"/>
  <c r="E66" i="16"/>
  <c r="E59" i="16"/>
  <c r="G59" i="16"/>
  <c r="E60" i="16"/>
  <c r="F59" i="16"/>
  <c r="C61" i="16"/>
  <c r="E61" i="16"/>
  <c r="C55" i="16"/>
  <c r="E55" i="16"/>
  <c r="G55" i="16"/>
  <c r="E54" i="16"/>
  <c r="F55" i="16"/>
  <c r="E53" i="16"/>
  <c r="G53" i="16"/>
  <c r="D53" i="16"/>
  <c r="F61" i="16"/>
  <c r="G61" i="16"/>
  <c r="E50" i="16"/>
  <c r="F53" i="16"/>
  <c r="F67" i="16"/>
  <c r="E294" i="2"/>
  <c r="E291" i="2"/>
  <c r="E288" i="2"/>
  <c r="F16" i="2"/>
  <c r="F17" i="2"/>
  <c r="G13" i="2"/>
  <c r="P10" i="2"/>
  <c r="G7" i="2"/>
  <c r="F45" i="2"/>
  <c r="F46" i="2"/>
  <c r="F43" i="2"/>
  <c r="P43" i="2"/>
  <c r="F44" i="2"/>
  <c r="P44" i="2"/>
  <c r="I45" i="2"/>
  <c r="I46" i="2"/>
  <c r="I43" i="2"/>
  <c r="I44" i="2"/>
  <c r="P173" i="2"/>
  <c r="F172" i="2"/>
  <c r="P172" i="2"/>
  <c r="I173" i="2"/>
  <c r="I172" i="2"/>
  <c r="I89" i="2"/>
  <c r="I88" i="2"/>
  <c r="I84" i="2"/>
  <c r="I83" i="2"/>
  <c r="F62" i="2"/>
  <c r="P61" i="2"/>
  <c r="F35" i="2"/>
  <c r="P34" i="2"/>
  <c r="F53" i="2"/>
  <c r="P53" i="2"/>
  <c r="P52" i="2"/>
  <c r="I53" i="2"/>
  <c r="I70" i="2"/>
  <c r="I27" i="2"/>
  <c r="F28" i="2"/>
  <c r="P28" i="2"/>
  <c r="F89" i="2"/>
  <c r="G85" i="2"/>
  <c r="F84" i="2"/>
  <c r="P84" i="2"/>
  <c r="G76" i="2"/>
  <c r="F11" i="2"/>
  <c r="P11" i="2"/>
  <c r="P4" i="2"/>
  <c r="F5" i="2"/>
  <c r="F6" i="2"/>
  <c r="F65" i="16"/>
  <c r="C56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H4" i="16"/>
  <c r="G4" i="16"/>
  <c r="F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4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5" i="16"/>
  <c r="D4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5" i="16"/>
  <c r="C4" i="16"/>
  <c r="I294" i="2"/>
  <c r="H294" i="2"/>
  <c r="H288" i="2"/>
  <c r="I288" i="2"/>
  <c r="I291" i="2"/>
  <c r="H291" i="2"/>
  <c r="E251" i="2"/>
  <c r="E269" i="2"/>
  <c r="E272" i="2"/>
  <c r="E275" i="2"/>
  <c r="E278" i="2"/>
  <c r="E281" i="2"/>
  <c r="E284" i="2"/>
  <c r="E257" i="2"/>
  <c r="E248" i="2"/>
  <c r="E266" i="2"/>
  <c r="E263" i="2"/>
  <c r="E245" i="2"/>
  <c r="E239" i="2"/>
  <c r="F294" i="2"/>
  <c r="G294" i="2"/>
  <c r="G288" i="2"/>
  <c r="F288" i="2"/>
  <c r="G291" i="2"/>
  <c r="F291" i="2"/>
  <c r="F18" i="2"/>
  <c r="E223" i="2"/>
  <c r="E235" i="2"/>
  <c r="E232" i="2"/>
  <c r="E260" i="2"/>
  <c r="E242" i="2"/>
  <c r="F48" i="2"/>
  <c r="F47" i="2"/>
  <c r="P47" i="2"/>
  <c r="I48" i="2"/>
  <c r="I47" i="2"/>
  <c r="J85" i="2"/>
  <c r="P89" i="2"/>
  <c r="F54" i="2"/>
  <c r="P54" i="2"/>
  <c r="F36" i="2"/>
  <c r="P35" i="2"/>
  <c r="F63" i="2"/>
  <c r="P62" i="2"/>
  <c r="I54" i="2"/>
  <c r="I28" i="2"/>
  <c r="F29" i="2"/>
  <c r="P29" i="2"/>
  <c r="G80" i="2"/>
  <c r="L80" i="2"/>
  <c r="L81" i="2"/>
  <c r="L82" i="2"/>
  <c r="L83" i="2"/>
  <c r="L84" i="2"/>
  <c r="L85" i="2"/>
  <c r="L86" i="2"/>
  <c r="L87" i="2"/>
  <c r="L88" i="2"/>
  <c r="L89" i="2"/>
  <c r="I33" i="16"/>
  <c r="I34" i="16"/>
  <c r="I28" i="16"/>
  <c r="I22" i="16"/>
  <c r="K22" i="16"/>
  <c r="N22" i="16"/>
  <c r="I16" i="16"/>
  <c r="I10" i="16"/>
  <c r="I29" i="16"/>
  <c r="I23" i="16"/>
  <c r="I17" i="16"/>
  <c r="I11" i="16"/>
  <c r="I5" i="16"/>
  <c r="I13" i="16"/>
  <c r="I4" i="16"/>
  <c r="I27" i="16"/>
  <c r="I9" i="16"/>
  <c r="I25" i="16"/>
  <c r="I7" i="16"/>
  <c r="I21" i="16"/>
  <c r="I15" i="16"/>
  <c r="I31" i="16"/>
  <c r="I19" i="16"/>
  <c r="I30" i="16"/>
  <c r="K30" i="16"/>
  <c r="N30" i="16"/>
  <c r="I24" i="16"/>
  <c r="I18" i="16"/>
  <c r="I12" i="16"/>
  <c r="I6" i="16"/>
  <c r="I32" i="16"/>
  <c r="I26" i="16"/>
  <c r="I20" i="16"/>
  <c r="I14" i="16"/>
  <c r="I8" i="16"/>
  <c r="D162" i="12"/>
  <c r="D164" i="12"/>
  <c r="D165" i="12"/>
  <c r="C162" i="12"/>
  <c r="C164" i="12"/>
  <c r="C165" i="12"/>
  <c r="B162" i="12"/>
  <c r="B164" i="12"/>
  <c r="B165" i="12"/>
  <c r="B121" i="12"/>
  <c r="B122" i="12"/>
  <c r="H122" i="12"/>
  <c r="H123" i="12"/>
  <c r="H124" i="12"/>
  <c r="H125" i="12"/>
  <c r="H126" i="12"/>
  <c r="H128" i="12"/>
  <c r="E122" i="12"/>
  <c r="B102" i="12"/>
  <c r="B104" i="12"/>
  <c r="B113" i="12"/>
  <c r="B115" i="12"/>
  <c r="B149" i="12"/>
  <c r="B139" i="12"/>
  <c r="B140" i="12"/>
  <c r="B101" i="12"/>
  <c r="B111" i="12"/>
  <c r="B94" i="12"/>
  <c r="B96" i="12"/>
  <c r="H140" i="12"/>
  <c r="H104" i="12"/>
  <c r="H105" i="12"/>
  <c r="H106" i="12"/>
  <c r="H107" i="12"/>
  <c r="H108" i="12"/>
  <c r="H110" i="12"/>
  <c r="H86" i="12"/>
  <c r="B148" i="12"/>
  <c r="B147" i="12"/>
  <c r="E140" i="12"/>
  <c r="E104" i="12"/>
  <c r="E105" i="12"/>
  <c r="E106" i="12"/>
  <c r="E107" i="12"/>
  <c r="E108" i="12"/>
  <c r="E110" i="12"/>
  <c r="P42" i="6"/>
  <c r="P41" i="6"/>
  <c r="M41" i="6"/>
  <c r="L41" i="6"/>
  <c r="I42" i="6"/>
  <c r="H42" i="6"/>
  <c r="I41" i="6"/>
  <c r="H41" i="6"/>
  <c r="AV42" i="6"/>
  <c r="AV41" i="6"/>
  <c r="AR42" i="6"/>
  <c r="AR41" i="6"/>
  <c r="AO42" i="6"/>
  <c r="AN42" i="6"/>
  <c r="AN41" i="6"/>
  <c r="AK42" i="6"/>
  <c r="AJ42" i="6"/>
  <c r="AJ41" i="6"/>
  <c r="AG42" i="6"/>
  <c r="AF42" i="6"/>
  <c r="AF41" i="6"/>
  <c r="U41" i="6"/>
  <c r="T42" i="6"/>
  <c r="T41" i="6"/>
  <c r="X42" i="6"/>
  <c r="X41" i="6"/>
  <c r="AB42" i="6"/>
  <c r="AB41" i="6"/>
  <c r="E78" i="12"/>
  <c r="E79" i="12"/>
  <c r="E80" i="12"/>
  <c r="E81" i="12"/>
  <c r="E82" i="12"/>
  <c r="E83" i="12"/>
  <c r="H87" i="12"/>
  <c r="H88" i="12"/>
  <c r="H89" i="12"/>
  <c r="H90" i="12"/>
  <c r="H92" i="12"/>
  <c r="E86" i="12"/>
  <c r="E87" i="12"/>
  <c r="E88" i="12"/>
  <c r="E89" i="12"/>
  <c r="E90" i="12"/>
  <c r="E92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BH60" i="12"/>
  <c r="BI60" i="12"/>
  <c r="BJ60" i="12"/>
  <c r="BK60" i="12"/>
  <c r="BL60" i="12"/>
  <c r="BM60" i="12"/>
  <c r="BN60" i="12"/>
  <c r="BO60" i="12"/>
  <c r="BP60" i="12"/>
  <c r="BQ60" i="12"/>
  <c r="BR60" i="12"/>
  <c r="BS60" i="12"/>
  <c r="BT60" i="12"/>
  <c r="BU60" i="12"/>
  <c r="BV60" i="12"/>
  <c r="BW60" i="12"/>
  <c r="BX60" i="12"/>
  <c r="BY60" i="12"/>
  <c r="BZ60" i="12"/>
  <c r="CA60" i="12"/>
  <c r="CB60" i="12"/>
  <c r="CC60" i="12"/>
  <c r="CD60" i="12"/>
  <c r="CE60" i="12"/>
  <c r="CF60" i="12"/>
  <c r="CG60" i="12"/>
  <c r="CH60" i="12"/>
  <c r="CI60" i="12"/>
  <c r="CJ60" i="12"/>
  <c r="CK60" i="12"/>
  <c r="CL60" i="12"/>
  <c r="CM60" i="12"/>
  <c r="CN60" i="12"/>
  <c r="CO60" i="12"/>
  <c r="CP60" i="12"/>
  <c r="CQ60" i="12"/>
  <c r="CR60" i="12"/>
  <c r="CS60" i="12"/>
  <c r="CT60" i="12"/>
  <c r="CU60" i="12"/>
  <c r="CV60" i="12"/>
  <c r="CW60" i="12"/>
  <c r="CX60" i="12"/>
  <c r="CY60" i="12"/>
  <c r="CZ60" i="12"/>
  <c r="DA60" i="12"/>
  <c r="DB60" i="12"/>
  <c r="DC60" i="12"/>
  <c r="DD60" i="12"/>
  <c r="DE60" i="12"/>
  <c r="DF60" i="12"/>
  <c r="DG60" i="12"/>
  <c r="DH60" i="12"/>
  <c r="DI60" i="12"/>
  <c r="DJ60" i="12"/>
  <c r="DK60" i="12"/>
  <c r="DL60" i="12"/>
  <c r="DM60" i="12"/>
  <c r="DN60" i="12"/>
  <c r="DO60" i="12"/>
  <c r="DP60" i="12"/>
  <c r="DQ60" i="12"/>
  <c r="DR60" i="12"/>
  <c r="DS60" i="12"/>
  <c r="DT60" i="12"/>
  <c r="DU60" i="12"/>
  <c r="DV60" i="12"/>
  <c r="DW60" i="12"/>
  <c r="DX60" i="12"/>
  <c r="DY60" i="12"/>
  <c r="DZ60" i="12"/>
  <c r="EA60" i="12"/>
  <c r="EB60" i="12"/>
  <c r="EC60" i="12"/>
  <c r="ED60" i="12"/>
  <c r="EE60" i="12"/>
  <c r="EF60" i="12"/>
  <c r="EG60" i="12"/>
  <c r="EH60" i="12"/>
  <c r="EI60" i="12"/>
  <c r="EJ60" i="12"/>
  <c r="EK60" i="12"/>
  <c r="EL60" i="12"/>
  <c r="EM60" i="12"/>
  <c r="EN60" i="12"/>
  <c r="EO60" i="12"/>
  <c r="EP60" i="12"/>
  <c r="EQ60" i="12"/>
  <c r="ER60" i="12"/>
  <c r="ES60" i="12"/>
  <c r="ET60" i="12"/>
  <c r="EU60" i="12"/>
  <c r="EV60" i="12"/>
  <c r="EW60" i="12"/>
  <c r="EX60" i="12"/>
  <c r="EY60" i="12"/>
  <c r="EZ60" i="12"/>
  <c r="FA60" i="12"/>
  <c r="FB60" i="12"/>
  <c r="FC60" i="12"/>
  <c r="FD60" i="12"/>
  <c r="FE60" i="12"/>
  <c r="FF60" i="12"/>
  <c r="FG60" i="12"/>
  <c r="FH60" i="12"/>
  <c r="FI60" i="12"/>
  <c r="FJ60" i="12"/>
  <c r="FK60" i="12"/>
  <c r="FL60" i="12"/>
  <c r="FM60" i="12"/>
  <c r="FN60" i="12"/>
  <c r="FO60" i="12"/>
  <c r="FP60" i="12"/>
  <c r="FQ60" i="12"/>
  <c r="FR60" i="12"/>
  <c r="FS60" i="12"/>
  <c r="FT60" i="12"/>
  <c r="FU60" i="12"/>
  <c r="FV60" i="12"/>
  <c r="FW60" i="12"/>
  <c r="FX60" i="12"/>
  <c r="FY60" i="12"/>
  <c r="FZ60" i="12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4" i="16"/>
  <c r="F56" i="12"/>
  <c r="K56" i="12"/>
  <c r="N23" i="12"/>
  <c r="I23" i="12"/>
  <c r="J23" i="12"/>
  <c r="K23" i="12"/>
  <c r="F55" i="12"/>
  <c r="K55" i="12"/>
  <c r="N18" i="12"/>
  <c r="I18" i="12"/>
  <c r="J18" i="12"/>
  <c r="K18" i="12"/>
  <c r="F54" i="12"/>
  <c r="K54" i="12"/>
  <c r="N14" i="12"/>
  <c r="I14" i="12"/>
  <c r="J14" i="12"/>
  <c r="K14" i="12"/>
  <c r="F53" i="12"/>
  <c r="K53" i="12"/>
  <c r="F52" i="12"/>
  <c r="K52" i="12"/>
  <c r="N10" i="12"/>
  <c r="I10" i="12"/>
  <c r="J10" i="12"/>
  <c r="K10" i="12"/>
  <c r="F51" i="12"/>
  <c r="K51" i="12"/>
  <c r="N3" i="12"/>
  <c r="D3" i="12"/>
  <c r="E3" i="12"/>
  <c r="F3" i="12"/>
  <c r="D42" i="16"/>
  <c r="G42" i="16"/>
  <c r="C42" i="16"/>
  <c r="F42" i="16"/>
  <c r="D41" i="16"/>
  <c r="G41" i="16"/>
  <c r="C41" i="16"/>
  <c r="F41" i="16"/>
  <c r="D43" i="16"/>
  <c r="G43" i="16"/>
  <c r="D44" i="16"/>
  <c r="G44" i="16"/>
  <c r="D45" i="16"/>
  <c r="G45" i="16"/>
  <c r="D46" i="16"/>
  <c r="G46" i="16"/>
  <c r="D47" i="16"/>
  <c r="G47" i="16"/>
  <c r="C43" i="16"/>
  <c r="F43" i="16"/>
  <c r="C44" i="16"/>
  <c r="F44" i="16"/>
  <c r="C45" i="16"/>
  <c r="F45" i="16"/>
  <c r="C46" i="16"/>
  <c r="F46" i="16"/>
  <c r="C47" i="16"/>
  <c r="F47" i="16"/>
  <c r="J5" i="16"/>
  <c r="K5" i="16"/>
  <c r="J6" i="16"/>
  <c r="K6" i="16"/>
  <c r="N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J31" i="16"/>
  <c r="K31" i="16"/>
  <c r="J32" i="16"/>
  <c r="K32" i="16"/>
  <c r="J33" i="16"/>
  <c r="K33" i="16"/>
  <c r="J34" i="16"/>
  <c r="K34" i="16"/>
  <c r="K4" i="16"/>
  <c r="J4" i="16"/>
  <c r="C43" i="12"/>
  <c r="N43" i="12"/>
  <c r="D43" i="12"/>
  <c r="E43" i="12"/>
  <c r="F43" i="12"/>
  <c r="N26" i="12"/>
  <c r="I26" i="12"/>
  <c r="J26" i="12"/>
  <c r="K26" i="12"/>
  <c r="L27" i="12"/>
  <c r="N27" i="12"/>
  <c r="L24" i="12"/>
  <c r="N24" i="12"/>
  <c r="L47" i="12"/>
  <c r="N47" i="12"/>
  <c r="N41" i="12"/>
  <c r="I41" i="12"/>
  <c r="J41" i="12"/>
  <c r="K41" i="12"/>
  <c r="N38" i="12"/>
  <c r="I38" i="12"/>
  <c r="J38" i="12"/>
  <c r="K38" i="12"/>
  <c r="N37" i="12"/>
  <c r="I37" i="12"/>
  <c r="J37" i="12"/>
  <c r="K37" i="12"/>
  <c r="N36" i="12"/>
  <c r="I36" i="12"/>
  <c r="J36" i="12"/>
  <c r="K36" i="12"/>
  <c r="N35" i="12"/>
  <c r="I35" i="12"/>
  <c r="J35" i="12"/>
  <c r="K35" i="12"/>
  <c r="D35" i="12"/>
  <c r="E35" i="12"/>
  <c r="F35" i="12"/>
  <c r="N34" i="12"/>
  <c r="I34" i="12"/>
  <c r="J34" i="12"/>
  <c r="K34" i="12"/>
  <c r="N33" i="12"/>
  <c r="D33" i="12"/>
  <c r="E33" i="12"/>
  <c r="F33" i="12"/>
  <c r="N22" i="12"/>
  <c r="I22" i="12"/>
  <c r="J22" i="12"/>
  <c r="K22" i="12"/>
  <c r="N21" i="12"/>
  <c r="D21" i="12"/>
  <c r="E21" i="12"/>
  <c r="F21" i="12"/>
  <c r="N20" i="12"/>
  <c r="I20" i="12"/>
  <c r="J20" i="12"/>
  <c r="K20" i="12"/>
  <c r="N19" i="12"/>
  <c r="I19" i="12"/>
  <c r="J19" i="12"/>
  <c r="K19" i="12"/>
  <c r="N17" i="12"/>
  <c r="I17" i="12"/>
  <c r="J17" i="12"/>
  <c r="K17" i="12"/>
  <c r="N42" i="12"/>
  <c r="D42" i="12"/>
  <c r="E42" i="12"/>
  <c r="F42" i="12"/>
  <c r="N40" i="12"/>
  <c r="I40" i="12"/>
  <c r="J40" i="12"/>
  <c r="K40" i="12"/>
  <c r="N39" i="12"/>
  <c r="I39" i="12"/>
  <c r="J39" i="12"/>
  <c r="K39" i="12"/>
  <c r="N32" i="12"/>
  <c r="I32" i="12"/>
  <c r="J32" i="12"/>
  <c r="K32" i="12"/>
  <c r="N31" i="12"/>
  <c r="I31" i="12"/>
  <c r="J31" i="12"/>
  <c r="K31" i="12"/>
  <c r="N30" i="12"/>
  <c r="I30" i="12"/>
  <c r="J30" i="12"/>
  <c r="K30" i="12"/>
  <c r="N29" i="12"/>
  <c r="I29" i="12"/>
  <c r="J29" i="12"/>
  <c r="K29" i="12"/>
  <c r="N28" i="12"/>
  <c r="N25" i="12"/>
  <c r="D25" i="12"/>
  <c r="E25" i="12"/>
  <c r="F25" i="12"/>
  <c r="D23" i="12"/>
  <c r="E23" i="12"/>
  <c r="F23" i="12"/>
  <c r="N16" i="12"/>
  <c r="I16" i="12"/>
  <c r="J16" i="12"/>
  <c r="K16" i="12"/>
  <c r="N15" i="12"/>
  <c r="D14" i="12"/>
  <c r="E14" i="12"/>
  <c r="F14" i="12"/>
  <c r="N11" i="12"/>
  <c r="I11" i="12"/>
  <c r="J11" i="12"/>
  <c r="K11" i="12"/>
  <c r="N13" i="12"/>
  <c r="I13" i="12"/>
  <c r="J13" i="12"/>
  <c r="K13" i="12"/>
  <c r="N12" i="12"/>
  <c r="N9" i="12"/>
  <c r="I9" i="12"/>
  <c r="J9" i="12"/>
  <c r="K9" i="12"/>
  <c r="I152" i="8"/>
  <c r="I153" i="8"/>
  <c r="J152" i="8"/>
  <c r="J153" i="8"/>
  <c r="K152" i="8"/>
  <c r="K153" i="8"/>
  <c r="H153" i="8"/>
  <c r="A32" i="7"/>
  <c r="A45" i="7"/>
  <c r="C12" i="7"/>
  <c r="A42" i="7"/>
  <c r="C20" i="7"/>
  <c r="A62" i="7"/>
  <c r="I25" i="7"/>
  <c r="A29" i="7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4" i="11"/>
  <c r="H149" i="8"/>
  <c r="H151" i="8"/>
  <c r="I150" i="8"/>
  <c r="I151" i="8"/>
  <c r="J150" i="8"/>
  <c r="J151" i="8"/>
  <c r="K150" i="8"/>
  <c r="K151" i="8"/>
  <c r="K149" i="8"/>
  <c r="J149" i="8"/>
  <c r="I149" i="8"/>
  <c r="F152" i="8"/>
  <c r="F150" i="8"/>
  <c r="W146" i="7"/>
  <c r="W147" i="7"/>
  <c r="W150" i="7"/>
  <c r="Y150" i="7"/>
  <c r="W149" i="7"/>
  <c r="W148" i="7"/>
  <c r="Y148" i="7"/>
  <c r="W151" i="7"/>
  <c r="Y151" i="7"/>
  <c r="Y153" i="7"/>
  <c r="Y152" i="7"/>
  <c r="Y149" i="7"/>
  <c r="Y147" i="7"/>
  <c r="Y146" i="7"/>
  <c r="F149" i="8"/>
  <c r="F153" i="8"/>
  <c r="E152" i="8"/>
  <c r="E149" i="8"/>
  <c r="E150" i="8"/>
  <c r="E151" i="8"/>
  <c r="D152" i="8"/>
  <c r="D149" i="8"/>
  <c r="D153" i="8"/>
  <c r="D150" i="8"/>
  <c r="D151" i="8"/>
  <c r="C149" i="8"/>
  <c r="C153" i="8"/>
  <c r="C64" i="1"/>
  <c r="E64" i="1"/>
  <c r="C65" i="1"/>
  <c r="E65" i="1"/>
  <c r="F65" i="1"/>
  <c r="C66" i="1"/>
  <c r="E66" i="1"/>
  <c r="F66" i="1"/>
  <c r="C67" i="1"/>
  <c r="E67" i="1"/>
  <c r="B72" i="1"/>
  <c r="C72" i="1"/>
  <c r="E72" i="1"/>
  <c r="C73" i="1"/>
  <c r="E73" i="1"/>
  <c r="B74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C58" i="1"/>
  <c r="E58" i="1"/>
  <c r="F58" i="1"/>
  <c r="C59" i="1"/>
  <c r="E59" i="1"/>
  <c r="F59" i="1"/>
  <c r="C60" i="1"/>
  <c r="E60" i="1"/>
  <c r="F60" i="1"/>
  <c r="E61" i="1"/>
  <c r="F61" i="1"/>
  <c r="B49" i="1"/>
  <c r="C49" i="1"/>
  <c r="E49" i="1"/>
  <c r="F49" i="1"/>
  <c r="B50" i="1"/>
  <c r="C50" i="1"/>
  <c r="E50" i="1"/>
  <c r="F50" i="1"/>
  <c r="B51" i="1"/>
  <c r="C51" i="1"/>
  <c r="E51" i="1"/>
  <c r="F51" i="1"/>
  <c r="B52" i="1"/>
  <c r="C52" i="1"/>
  <c r="E52" i="1"/>
  <c r="F52" i="1"/>
  <c r="B53" i="1"/>
  <c r="C53" i="1"/>
  <c r="E53" i="1"/>
  <c r="F53" i="1"/>
  <c r="B54" i="1"/>
  <c r="C54" i="1"/>
  <c r="E54" i="1"/>
  <c r="F54" i="1"/>
  <c r="B55" i="1"/>
  <c r="C55" i="1"/>
  <c r="E55" i="1"/>
  <c r="D58" i="1"/>
  <c r="B39" i="1"/>
  <c r="C39" i="1"/>
  <c r="E39" i="1"/>
  <c r="B40" i="1"/>
  <c r="C40" i="1"/>
  <c r="E40" i="1"/>
  <c r="B41" i="1"/>
  <c r="C41" i="1"/>
  <c r="E41" i="1"/>
  <c r="B42" i="1"/>
  <c r="C42" i="1"/>
  <c r="E42" i="1"/>
  <c r="B43" i="1"/>
  <c r="C43" i="1"/>
  <c r="E43" i="1"/>
  <c r="B44" i="1"/>
  <c r="C44" i="1"/>
  <c r="E44" i="1"/>
  <c r="B45" i="1"/>
  <c r="C45" i="1"/>
  <c r="E45" i="1"/>
  <c r="E46" i="1"/>
  <c r="F46" i="1"/>
  <c r="F40" i="1"/>
  <c r="F41" i="1"/>
  <c r="F42" i="1"/>
  <c r="F43" i="1"/>
  <c r="F44" i="1"/>
  <c r="B29" i="1"/>
  <c r="C29" i="1"/>
  <c r="E29" i="1"/>
  <c r="F29" i="1"/>
  <c r="B30" i="1"/>
  <c r="C30" i="1"/>
  <c r="E30" i="1"/>
  <c r="F30" i="1"/>
  <c r="B31" i="1"/>
  <c r="C31" i="1"/>
  <c r="E31" i="1"/>
  <c r="F31" i="1"/>
  <c r="B32" i="1"/>
  <c r="C32" i="1"/>
  <c r="E32" i="1"/>
  <c r="F32" i="1"/>
  <c r="B33" i="1"/>
  <c r="C33" i="1"/>
  <c r="E33" i="1"/>
  <c r="F33" i="1"/>
  <c r="B34" i="1"/>
  <c r="C34" i="1"/>
  <c r="E34" i="1"/>
  <c r="F34" i="1"/>
  <c r="F45" i="1"/>
  <c r="B35" i="1"/>
  <c r="C35" i="1"/>
  <c r="E35" i="1"/>
  <c r="F35" i="1"/>
  <c r="B11" i="1"/>
  <c r="C11" i="1"/>
  <c r="E11" i="1"/>
  <c r="B12" i="1"/>
  <c r="C12" i="1"/>
  <c r="E12" i="1"/>
  <c r="F12" i="1"/>
  <c r="B13" i="1"/>
  <c r="C13" i="1"/>
  <c r="E13" i="1"/>
  <c r="F13" i="1"/>
  <c r="B14" i="1"/>
  <c r="C14" i="1"/>
  <c r="E14" i="1"/>
  <c r="F14" i="1"/>
  <c r="C3" i="1"/>
  <c r="E3" i="1"/>
  <c r="B4" i="1"/>
  <c r="C4" i="1"/>
  <c r="E4" i="1"/>
  <c r="F4" i="1"/>
  <c r="B5" i="1"/>
  <c r="C5" i="1"/>
  <c r="E5" i="1"/>
  <c r="F5" i="1"/>
  <c r="B6" i="1"/>
  <c r="C6" i="1"/>
  <c r="E6" i="1"/>
  <c r="F6" i="1"/>
  <c r="B7" i="1"/>
  <c r="C7" i="1"/>
  <c r="E7" i="1"/>
  <c r="F7" i="1"/>
  <c r="B19" i="1"/>
  <c r="C19" i="1"/>
  <c r="E19" i="1"/>
  <c r="B20" i="1"/>
  <c r="C20" i="1"/>
  <c r="E20" i="1"/>
  <c r="F20" i="1"/>
  <c r="B21" i="1"/>
  <c r="C21" i="1"/>
  <c r="E21" i="1"/>
  <c r="F21" i="1"/>
  <c r="B22" i="1"/>
  <c r="C22" i="1"/>
  <c r="E22" i="1"/>
  <c r="F22" i="1"/>
  <c r="B23" i="1"/>
  <c r="C23" i="1"/>
  <c r="E23" i="1"/>
  <c r="F23" i="1"/>
  <c r="B24" i="1"/>
  <c r="C24" i="1"/>
  <c r="E24" i="1"/>
  <c r="F24" i="1"/>
  <c r="B25" i="1"/>
  <c r="C25" i="1"/>
  <c r="E25" i="1"/>
  <c r="F25" i="1"/>
  <c r="F3" i="1"/>
  <c r="F55" i="1"/>
  <c r="F67" i="1"/>
  <c r="F73" i="1"/>
  <c r="F78" i="1"/>
  <c r="D60" i="1"/>
  <c r="D59" i="1"/>
  <c r="C87" i="10"/>
  <c r="C88" i="10"/>
  <c r="L2" i="9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H2" i="8"/>
  <c r="G2" i="8"/>
  <c r="F2" i="8"/>
  <c r="G69" i="8"/>
  <c r="K69" i="8"/>
  <c r="H69" i="8"/>
  <c r="L69" i="8"/>
  <c r="I69" i="8"/>
  <c r="M69" i="8"/>
  <c r="G70" i="8"/>
  <c r="K70" i="8"/>
  <c r="H70" i="8"/>
  <c r="L70" i="8"/>
  <c r="I70" i="8"/>
  <c r="M70" i="8"/>
  <c r="G71" i="8"/>
  <c r="K71" i="8"/>
  <c r="H71" i="8"/>
  <c r="L71" i="8"/>
  <c r="I71" i="8"/>
  <c r="M71" i="8"/>
  <c r="G72" i="8"/>
  <c r="K72" i="8"/>
  <c r="H72" i="8"/>
  <c r="L72" i="8"/>
  <c r="I72" i="8"/>
  <c r="M72" i="8"/>
  <c r="G73" i="8"/>
  <c r="K73" i="8"/>
  <c r="H73" i="8"/>
  <c r="L73" i="8"/>
  <c r="I73" i="8"/>
  <c r="M73" i="8"/>
  <c r="G74" i="8"/>
  <c r="K74" i="8"/>
  <c r="H74" i="8"/>
  <c r="L74" i="8"/>
  <c r="I74" i="8"/>
  <c r="M74" i="8"/>
  <c r="G75" i="8"/>
  <c r="K75" i="8"/>
  <c r="H75" i="8"/>
  <c r="L75" i="8"/>
  <c r="I75" i="8"/>
  <c r="M75" i="8"/>
  <c r="G76" i="8"/>
  <c r="K76" i="8"/>
  <c r="H76" i="8"/>
  <c r="L76" i="8"/>
  <c r="I76" i="8"/>
  <c r="M76" i="8"/>
  <c r="G77" i="8"/>
  <c r="K77" i="8"/>
  <c r="H77" i="8"/>
  <c r="L77" i="8"/>
  <c r="I77" i="8"/>
  <c r="M77" i="8"/>
  <c r="I68" i="8"/>
  <c r="M68" i="8"/>
  <c r="H68" i="8"/>
  <c r="L68" i="8"/>
  <c r="G68" i="8"/>
  <c r="K68" i="8"/>
  <c r="A69" i="8"/>
  <c r="A70" i="8"/>
  <c r="A71" i="8"/>
  <c r="A72" i="8"/>
  <c r="A73" i="8"/>
  <c r="A74" i="8"/>
  <c r="A75" i="8"/>
  <c r="A76" i="8"/>
  <c r="A77" i="8"/>
  <c r="A68" i="8"/>
  <c r="O69" i="8"/>
  <c r="S69" i="8"/>
  <c r="Q69" i="8"/>
  <c r="U69" i="8"/>
  <c r="O70" i="8"/>
  <c r="S70" i="8"/>
  <c r="P70" i="8"/>
  <c r="T70" i="8"/>
  <c r="Q70" i="8"/>
  <c r="U70" i="8"/>
  <c r="O71" i="8"/>
  <c r="S71" i="8"/>
  <c r="P71" i="8"/>
  <c r="T71" i="8"/>
  <c r="Q71" i="8"/>
  <c r="U71" i="8"/>
  <c r="O72" i="8"/>
  <c r="S72" i="8"/>
  <c r="P72" i="8"/>
  <c r="T72" i="8"/>
  <c r="Q72" i="8"/>
  <c r="U72" i="8"/>
  <c r="O73" i="8"/>
  <c r="S73" i="8"/>
  <c r="P73" i="8"/>
  <c r="T73" i="8"/>
  <c r="Q73" i="8"/>
  <c r="U73" i="8"/>
  <c r="O74" i="8"/>
  <c r="S74" i="8"/>
  <c r="P74" i="8"/>
  <c r="T74" i="8"/>
  <c r="Q74" i="8"/>
  <c r="U74" i="8"/>
  <c r="O75" i="8"/>
  <c r="S75" i="8"/>
  <c r="P75" i="8"/>
  <c r="T75" i="8"/>
  <c r="Q75" i="8"/>
  <c r="U75" i="8"/>
  <c r="O76" i="8"/>
  <c r="S76" i="8"/>
  <c r="P76" i="8"/>
  <c r="T76" i="8"/>
  <c r="Q76" i="8"/>
  <c r="U76" i="8"/>
  <c r="Q68" i="8"/>
  <c r="U68" i="8"/>
  <c r="O68" i="8"/>
  <c r="S68" i="8"/>
  <c r="A62" i="8"/>
  <c r="C62" i="8"/>
  <c r="A61" i="8"/>
  <c r="C61" i="8"/>
  <c r="D61" i="8"/>
  <c r="E61" i="8"/>
  <c r="A56" i="8"/>
  <c r="C56" i="8"/>
  <c r="A55" i="8"/>
  <c r="C55" i="8"/>
  <c r="D55" i="8"/>
  <c r="E55" i="8"/>
  <c r="A54" i="8"/>
  <c r="C54" i="8"/>
  <c r="A51" i="8"/>
  <c r="C51" i="8"/>
  <c r="D51" i="8"/>
  <c r="E51" i="8"/>
  <c r="A50" i="8"/>
  <c r="C50" i="8"/>
  <c r="A49" i="8"/>
  <c r="C49" i="8"/>
  <c r="D49" i="8"/>
  <c r="E49" i="8"/>
  <c r="A64" i="8"/>
  <c r="A52" i="8"/>
  <c r="A53" i="8"/>
  <c r="A57" i="8"/>
  <c r="A58" i="8"/>
  <c r="A59" i="8"/>
  <c r="A60" i="8"/>
  <c r="A63" i="8"/>
  <c r="C47" i="8"/>
  <c r="D47" i="8"/>
  <c r="C35" i="8"/>
  <c r="D35" i="8"/>
  <c r="C15" i="8"/>
  <c r="D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2" i="8"/>
  <c r="D6" i="7"/>
  <c r="I8" i="7"/>
  <c r="G8" i="7"/>
  <c r="D8" i="7"/>
  <c r="C14" i="7"/>
  <c r="D78" i="1"/>
  <c r="D77" i="1"/>
  <c r="D76" i="1"/>
  <c r="D75" i="1"/>
  <c r="D74" i="1"/>
  <c r="D73" i="1"/>
  <c r="Y348" i="2"/>
  <c r="W348" i="2"/>
  <c r="U348" i="2"/>
  <c r="U343" i="2"/>
  <c r="W343" i="2"/>
  <c r="Y343" i="2"/>
  <c r="Y338" i="2"/>
  <c r="W338" i="2"/>
  <c r="U338" i="2"/>
  <c r="Y333" i="2"/>
  <c r="W333" i="2"/>
  <c r="U333" i="2"/>
  <c r="Y371" i="2"/>
  <c r="X371" i="2"/>
  <c r="W371" i="2"/>
  <c r="V371" i="2"/>
  <c r="U371" i="2"/>
  <c r="Y366" i="2"/>
  <c r="X366" i="2"/>
  <c r="W366" i="2"/>
  <c r="V366" i="2"/>
  <c r="U366" i="2"/>
  <c r="Y361" i="2"/>
  <c r="X361" i="2"/>
  <c r="W361" i="2"/>
  <c r="V361" i="2"/>
  <c r="U361" i="2"/>
  <c r="Y356" i="2"/>
  <c r="X356" i="2"/>
  <c r="W356" i="2"/>
  <c r="V356" i="2"/>
  <c r="U356" i="2"/>
  <c r="Y379" i="2"/>
  <c r="W379" i="2"/>
  <c r="U379" i="2"/>
  <c r="U384" i="2"/>
  <c r="W384" i="2"/>
  <c r="Y384" i="2"/>
  <c r="Y389" i="2"/>
  <c r="W389" i="2"/>
  <c r="U389" i="2"/>
  <c r="Y407" i="2"/>
  <c r="W407" i="2"/>
  <c r="U407" i="2"/>
  <c r="Y402" i="2"/>
  <c r="W402" i="2"/>
  <c r="U402" i="2"/>
  <c r="Y397" i="2"/>
  <c r="W397" i="2"/>
  <c r="U397" i="2"/>
  <c r="T407" i="2"/>
  <c r="T402" i="2"/>
  <c r="T397" i="2"/>
  <c r="T389" i="2"/>
  <c r="T384" i="2"/>
  <c r="T379" i="2"/>
  <c r="T371" i="2"/>
  <c r="T366" i="2"/>
  <c r="T361" i="2"/>
  <c r="T356" i="2"/>
  <c r="T348" i="2"/>
  <c r="T343" i="2"/>
  <c r="T338" i="2"/>
  <c r="T333" i="2"/>
  <c r="U404" i="2"/>
  <c r="W404" i="2"/>
  <c r="Y404" i="2"/>
  <c r="U399" i="2"/>
  <c r="W399" i="2"/>
  <c r="Y399" i="2"/>
  <c r="U394" i="2"/>
  <c r="W394" i="2"/>
  <c r="Y394" i="2"/>
  <c r="U386" i="2"/>
  <c r="W386" i="2"/>
  <c r="Y386" i="2"/>
  <c r="U381" i="2"/>
  <c r="W381" i="2"/>
  <c r="Y381" i="2"/>
  <c r="U376" i="2"/>
  <c r="W376" i="2"/>
  <c r="Y376" i="2"/>
  <c r="U345" i="2"/>
  <c r="W345" i="2"/>
  <c r="Y345" i="2"/>
  <c r="U340" i="2"/>
  <c r="W340" i="2"/>
  <c r="Y340" i="2"/>
  <c r="U335" i="2"/>
  <c r="W335" i="2"/>
  <c r="Y335" i="2"/>
  <c r="T404" i="2"/>
  <c r="T399" i="2"/>
  <c r="T394" i="2"/>
  <c r="T386" i="2"/>
  <c r="T381" i="2"/>
  <c r="T376" i="2"/>
  <c r="T345" i="2"/>
  <c r="T340" i="2"/>
  <c r="T335" i="2"/>
  <c r="U330" i="2"/>
  <c r="W330" i="2"/>
  <c r="Y330" i="2"/>
  <c r="T330" i="2"/>
  <c r="R345" i="2"/>
  <c r="R346" i="2"/>
  <c r="R340" i="2"/>
  <c r="R341" i="2"/>
  <c r="R335" i="2"/>
  <c r="R336" i="2"/>
  <c r="R330" i="2"/>
  <c r="R331" i="2"/>
  <c r="U368" i="2"/>
  <c r="V368" i="2"/>
  <c r="W368" i="2"/>
  <c r="X368" i="2"/>
  <c r="Y368" i="2"/>
  <c r="T368" i="2"/>
  <c r="U363" i="2"/>
  <c r="V363" i="2"/>
  <c r="W363" i="2"/>
  <c r="X363" i="2"/>
  <c r="Y363" i="2"/>
  <c r="T363" i="2"/>
  <c r="U358" i="2"/>
  <c r="V358" i="2"/>
  <c r="W358" i="2"/>
  <c r="X358" i="2"/>
  <c r="Y358" i="2"/>
  <c r="T358" i="2"/>
  <c r="U353" i="2"/>
  <c r="V353" i="2"/>
  <c r="W353" i="2"/>
  <c r="X353" i="2"/>
  <c r="Y353" i="2"/>
  <c r="T353" i="2"/>
  <c r="R404" i="2"/>
  <c r="R399" i="2"/>
  <c r="R394" i="2"/>
  <c r="R405" i="2"/>
  <c r="R400" i="2"/>
  <c r="R395" i="2"/>
  <c r="R386" i="2"/>
  <c r="R387" i="2"/>
  <c r="R381" i="2"/>
  <c r="R382" i="2"/>
  <c r="R376" i="2"/>
  <c r="R377" i="2"/>
  <c r="R368" i="2"/>
  <c r="R369" i="2"/>
  <c r="R363" i="2"/>
  <c r="R364" i="2"/>
  <c r="R358" i="2"/>
  <c r="R359" i="2"/>
  <c r="R353" i="2"/>
  <c r="R354" i="2"/>
  <c r="P68" i="2"/>
  <c r="P69" i="2"/>
  <c r="P70" i="2"/>
  <c r="P71" i="2"/>
  <c r="P72" i="2"/>
  <c r="P74" i="2"/>
  <c r="P92" i="2"/>
  <c r="P93" i="2"/>
  <c r="P94" i="2"/>
  <c r="P176" i="2"/>
  <c r="P177" i="2"/>
  <c r="G183" i="2"/>
  <c r="P184" i="2"/>
  <c r="P185" i="2"/>
  <c r="G186" i="2"/>
  <c r="P188" i="2"/>
  <c r="P189" i="2"/>
  <c r="G190" i="2"/>
  <c r="P23" i="2"/>
  <c r="P24" i="2"/>
  <c r="P5" i="2"/>
  <c r="P6" i="2"/>
  <c r="P15" i="2"/>
  <c r="P16" i="2"/>
  <c r="P17" i="2"/>
  <c r="P21" i="2"/>
  <c r="P22" i="2"/>
  <c r="L180" i="2"/>
  <c r="G174" i="2"/>
  <c r="D65" i="1"/>
  <c r="D66" i="1"/>
  <c r="D67" i="1"/>
  <c r="D64" i="1"/>
  <c r="K13" i="2"/>
  <c r="G67" i="2"/>
  <c r="D50" i="1"/>
  <c r="D51" i="1"/>
  <c r="D52" i="1"/>
  <c r="D53" i="1"/>
  <c r="D54" i="1"/>
  <c r="D55" i="1"/>
  <c r="D49" i="1"/>
  <c r="D40" i="1"/>
  <c r="D41" i="1"/>
  <c r="D42" i="1"/>
  <c r="D43" i="1"/>
  <c r="D44" i="1"/>
  <c r="D45" i="1"/>
  <c r="D39" i="1"/>
  <c r="D30" i="1"/>
  <c r="D31" i="1"/>
  <c r="D32" i="1"/>
  <c r="D33" i="1"/>
  <c r="D34" i="1"/>
  <c r="D35" i="1"/>
  <c r="D29" i="1"/>
  <c r="D20" i="1"/>
  <c r="D21" i="1"/>
  <c r="D22" i="1"/>
  <c r="D23" i="1"/>
  <c r="D24" i="1"/>
  <c r="D25" i="1"/>
  <c r="D19" i="1"/>
  <c r="D12" i="1"/>
  <c r="D13" i="1"/>
  <c r="D14" i="1"/>
  <c r="D11" i="1"/>
  <c r="D4" i="1"/>
  <c r="D5" i="1"/>
  <c r="D6" i="1"/>
  <c r="D7" i="1"/>
  <c r="D3" i="1"/>
  <c r="D18" i="12"/>
  <c r="E18" i="12"/>
  <c r="F18" i="12"/>
  <c r="D30" i="12"/>
  <c r="E30" i="12"/>
  <c r="F30" i="12"/>
  <c r="D37" i="12"/>
  <c r="E37" i="12"/>
  <c r="F37" i="12"/>
  <c r="E141" i="12"/>
  <c r="E142" i="12"/>
  <c r="E143" i="12"/>
  <c r="E144" i="12"/>
  <c r="E146" i="12"/>
  <c r="D10" i="12"/>
  <c r="E10" i="12"/>
  <c r="F10" i="12"/>
  <c r="I21" i="12"/>
  <c r="J21" i="12"/>
  <c r="K21" i="12"/>
  <c r="D41" i="12"/>
  <c r="E41" i="12"/>
  <c r="F41" i="12"/>
  <c r="D26" i="12"/>
  <c r="E26" i="12"/>
  <c r="F26" i="12"/>
  <c r="D19" i="12"/>
  <c r="E19" i="12"/>
  <c r="F19" i="12"/>
  <c r="L54" i="12"/>
  <c r="M54" i="12"/>
  <c r="D32" i="12"/>
  <c r="E32" i="12"/>
  <c r="F32" i="12"/>
  <c r="D17" i="12"/>
  <c r="E17" i="12"/>
  <c r="F17" i="12"/>
  <c r="D20" i="12"/>
  <c r="E20" i="12"/>
  <c r="F20" i="12"/>
  <c r="D22" i="12"/>
  <c r="E22" i="12"/>
  <c r="F22" i="12"/>
  <c r="I3" i="12"/>
  <c r="J3" i="12"/>
  <c r="K3" i="12"/>
  <c r="L51" i="12"/>
  <c r="M51" i="12"/>
  <c r="D11" i="12"/>
  <c r="E11" i="12"/>
  <c r="F11" i="12"/>
  <c r="D31" i="12"/>
  <c r="E31" i="12"/>
  <c r="F31" i="12"/>
  <c r="L53" i="12"/>
  <c r="M53" i="12"/>
  <c r="D9" i="12"/>
  <c r="E9" i="12"/>
  <c r="F9" i="12"/>
  <c r="I260" i="2"/>
  <c r="H260" i="2"/>
  <c r="G245" i="2"/>
  <c r="H245" i="2"/>
  <c r="I245" i="2"/>
  <c r="H232" i="2"/>
  <c r="I232" i="2"/>
  <c r="I263" i="2"/>
  <c r="H263" i="2"/>
  <c r="I278" i="2"/>
  <c r="H278" i="2"/>
  <c r="H281" i="2"/>
  <c r="I281" i="2"/>
  <c r="I235" i="2"/>
  <c r="H235" i="2"/>
  <c r="F266" i="2"/>
  <c r="H266" i="2"/>
  <c r="I266" i="2"/>
  <c r="H275" i="2"/>
  <c r="I275" i="2"/>
  <c r="I223" i="2"/>
  <c r="H223" i="2"/>
  <c r="H248" i="2"/>
  <c r="I248" i="2"/>
  <c r="I272" i="2"/>
  <c r="H272" i="2"/>
  <c r="I257" i="2"/>
  <c r="H257" i="2"/>
  <c r="H269" i="2"/>
  <c r="I269" i="2"/>
  <c r="I242" i="2"/>
  <c r="H242" i="2"/>
  <c r="I239" i="2"/>
  <c r="H239" i="2"/>
  <c r="H284" i="2"/>
  <c r="I284" i="2"/>
  <c r="F251" i="2"/>
  <c r="H251" i="2"/>
  <c r="I251" i="2"/>
  <c r="D36" i="12"/>
  <c r="E36" i="12"/>
  <c r="F36" i="12"/>
  <c r="L56" i="12"/>
  <c r="M56" i="12"/>
  <c r="D39" i="12"/>
  <c r="E39" i="12"/>
  <c r="F39" i="12"/>
  <c r="D38" i="12"/>
  <c r="E38" i="12"/>
  <c r="F38" i="12"/>
  <c r="D16" i="12"/>
  <c r="E16" i="12"/>
  <c r="F16" i="12"/>
  <c r="D29" i="12"/>
  <c r="E29" i="12"/>
  <c r="F29" i="12"/>
  <c r="P18" i="2"/>
  <c r="G251" i="2"/>
  <c r="F269" i="2"/>
  <c r="G269" i="2"/>
  <c r="F284" i="2"/>
  <c r="G284" i="2"/>
  <c r="G266" i="2"/>
  <c r="G281" i="2"/>
  <c r="F281" i="2"/>
  <c r="G272" i="2"/>
  <c r="F272" i="2"/>
  <c r="G278" i="2"/>
  <c r="F278" i="2"/>
  <c r="F275" i="2"/>
  <c r="G275" i="2"/>
  <c r="G248" i="2"/>
  <c r="F248" i="2"/>
  <c r="G257" i="2"/>
  <c r="F257" i="2"/>
  <c r="G263" i="2"/>
  <c r="F263" i="2"/>
  <c r="F245" i="2"/>
  <c r="F239" i="2"/>
  <c r="G239" i="2"/>
  <c r="I42" i="12"/>
  <c r="J42" i="12"/>
  <c r="K42" i="12"/>
  <c r="I33" i="12"/>
  <c r="J33" i="12"/>
  <c r="K33" i="12"/>
  <c r="D13" i="12"/>
  <c r="E13" i="12"/>
  <c r="F13" i="12"/>
  <c r="I25" i="12"/>
  <c r="J25" i="12"/>
  <c r="K25" i="12"/>
  <c r="L52" i="12"/>
  <c r="M52" i="12"/>
  <c r="D154" i="8"/>
  <c r="D50" i="8"/>
  <c r="E50" i="8"/>
  <c r="P68" i="8"/>
  <c r="T68" i="8"/>
  <c r="P69" i="8"/>
  <c r="T69" i="8"/>
  <c r="C151" i="8"/>
  <c r="C154" i="8"/>
  <c r="E153" i="8"/>
  <c r="E154" i="8"/>
  <c r="K154" i="8"/>
  <c r="J154" i="8"/>
  <c r="F151" i="8"/>
  <c r="I154" i="8"/>
  <c r="I28" i="12"/>
  <c r="J28" i="12"/>
  <c r="K28" i="12"/>
  <c r="D28" i="12"/>
  <c r="E28" i="12"/>
  <c r="F28" i="12"/>
  <c r="E15" i="1"/>
  <c r="F15" i="1"/>
  <c r="F11" i="1"/>
  <c r="D47" i="12"/>
  <c r="E47" i="12"/>
  <c r="F47" i="12"/>
  <c r="I47" i="12"/>
  <c r="J47" i="12"/>
  <c r="K47" i="12"/>
  <c r="B129" i="12"/>
  <c r="B131" i="12"/>
  <c r="B133" i="12"/>
  <c r="D56" i="8"/>
  <c r="E56" i="8"/>
  <c r="F19" i="1"/>
  <c r="E26" i="1"/>
  <c r="F26" i="1"/>
  <c r="E36" i="1"/>
  <c r="F36" i="1"/>
  <c r="I15" i="12"/>
  <c r="J15" i="12"/>
  <c r="K15" i="12"/>
  <c r="D15" i="12"/>
  <c r="E15" i="12"/>
  <c r="F15" i="12"/>
  <c r="D24" i="12"/>
  <c r="E24" i="12"/>
  <c r="F24" i="12"/>
  <c r="I24" i="12"/>
  <c r="J24" i="12"/>
  <c r="K24" i="12"/>
  <c r="H141" i="12"/>
  <c r="H142" i="12"/>
  <c r="H143" i="12"/>
  <c r="H144" i="12"/>
  <c r="H146" i="12"/>
  <c r="B150" i="12"/>
  <c r="B152" i="12"/>
  <c r="D62" i="8"/>
  <c r="E62" i="8"/>
  <c r="D54" i="8"/>
  <c r="E54" i="8"/>
  <c r="F39" i="1"/>
  <c r="H154" i="8"/>
  <c r="I12" i="12"/>
  <c r="J12" i="12"/>
  <c r="K12" i="12"/>
  <c r="D12" i="12"/>
  <c r="E12" i="12"/>
  <c r="F12" i="12"/>
  <c r="D27" i="12"/>
  <c r="E27" i="12"/>
  <c r="F27" i="12"/>
  <c r="I27" i="12"/>
  <c r="J27" i="12"/>
  <c r="K27" i="12"/>
  <c r="L55" i="12"/>
  <c r="M55" i="12"/>
  <c r="F72" i="1"/>
  <c r="E79" i="1"/>
  <c r="F79" i="1"/>
  <c r="D72" i="1"/>
  <c r="F64" i="1"/>
  <c r="E68" i="1"/>
  <c r="F68" i="1"/>
  <c r="E8" i="1"/>
  <c r="F8" i="1"/>
  <c r="E56" i="1"/>
  <c r="F56" i="1"/>
  <c r="F154" i="8"/>
  <c r="E123" i="12"/>
  <c r="E124" i="12"/>
  <c r="E125" i="12"/>
  <c r="E126" i="12"/>
  <c r="E128" i="12"/>
  <c r="N32" i="16"/>
  <c r="N9" i="16"/>
  <c r="N28" i="16"/>
  <c r="D40" i="12"/>
  <c r="E40" i="12"/>
  <c r="F40" i="12"/>
  <c r="D34" i="12"/>
  <c r="E34" i="12"/>
  <c r="F34" i="12"/>
  <c r="N27" i="16"/>
  <c r="N34" i="16"/>
  <c r="N8" i="16"/>
  <c r="N12" i="16"/>
  <c r="N15" i="16"/>
  <c r="N4" i="16"/>
  <c r="N33" i="16"/>
  <c r="N14" i="16"/>
  <c r="N18" i="16"/>
  <c r="N21" i="16"/>
  <c r="N10" i="16"/>
  <c r="N20" i="16"/>
  <c r="N24" i="16"/>
  <c r="N16" i="16"/>
  <c r="G232" i="2"/>
  <c r="F232" i="2"/>
  <c r="F235" i="2"/>
  <c r="G235" i="2"/>
  <c r="G223" i="2"/>
  <c r="F223" i="2"/>
  <c r="E220" i="2"/>
  <c r="E229" i="2"/>
  <c r="E217" i="2"/>
  <c r="E226" i="2"/>
  <c r="F242" i="2"/>
  <c r="G242" i="2"/>
  <c r="G260" i="2"/>
  <c r="F260" i="2"/>
  <c r="M180" i="2"/>
  <c r="L181" i="2"/>
  <c r="L182" i="2"/>
  <c r="L183" i="2"/>
  <c r="L184" i="2"/>
  <c r="L185" i="2"/>
  <c r="L186" i="2"/>
  <c r="L187" i="2"/>
  <c r="L188" i="2"/>
  <c r="L189" i="2"/>
  <c r="L190" i="2"/>
  <c r="P48" i="2"/>
  <c r="G39" i="2"/>
  <c r="L39" i="2"/>
  <c r="F55" i="2"/>
  <c r="P55" i="2"/>
  <c r="M85" i="2"/>
  <c r="N85" i="2"/>
  <c r="F64" i="2"/>
  <c r="P63" i="2"/>
  <c r="F37" i="2"/>
  <c r="P36" i="2"/>
  <c r="I55" i="2"/>
  <c r="I29" i="2"/>
  <c r="F30" i="2"/>
  <c r="P30" i="2"/>
  <c r="J80" i="2"/>
  <c r="M80" i="2"/>
  <c r="G187" i="2"/>
  <c r="G19" i="2"/>
  <c r="L19" i="2"/>
  <c r="L20" i="2"/>
  <c r="L21" i="2"/>
  <c r="L22" i="2"/>
  <c r="L23" i="2"/>
  <c r="L24" i="2"/>
  <c r="G184" i="2"/>
  <c r="P73" i="2"/>
  <c r="Y370" i="2"/>
  <c r="T388" i="2"/>
  <c r="U342" i="2"/>
  <c r="T401" i="2"/>
  <c r="G188" i="2"/>
  <c r="G189" i="2"/>
  <c r="P179" i="2"/>
  <c r="P75" i="2"/>
  <c r="X360" i="2"/>
  <c r="P97" i="2"/>
  <c r="W332" i="2"/>
  <c r="W347" i="2"/>
  <c r="P95" i="2"/>
  <c r="L13" i="2"/>
  <c r="L14" i="2"/>
  <c r="L15" i="2"/>
  <c r="L16" i="2"/>
  <c r="L17" i="2"/>
  <c r="L18" i="2"/>
  <c r="G185" i="2"/>
  <c r="P186" i="2"/>
  <c r="P183" i="2"/>
  <c r="P178" i="2"/>
  <c r="P96" i="2"/>
  <c r="Y388" i="2"/>
  <c r="U396" i="2"/>
  <c r="W337" i="2"/>
  <c r="U401" i="2"/>
  <c r="P190" i="2"/>
  <c r="U360" i="2"/>
  <c r="T370" i="2"/>
  <c r="U406" i="2"/>
  <c r="P187" i="2"/>
  <c r="T332" i="2"/>
  <c r="V355" i="2"/>
  <c r="X365" i="2"/>
  <c r="W388" i="2"/>
  <c r="Y360" i="2"/>
  <c r="W360" i="2"/>
  <c r="Y396" i="2"/>
  <c r="K2" i="2"/>
  <c r="J2" i="2"/>
  <c r="U355" i="2"/>
  <c r="U332" i="2"/>
  <c r="Y337" i="2"/>
  <c r="Y347" i="2"/>
  <c r="V360" i="2"/>
  <c r="U365" i="2"/>
  <c r="T396" i="2"/>
  <c r="U383" i="2"/>
  <c r="W401" i="2"/>
  <c r="T360" i="2"/>
  <c r="U370" i="2"/>
  <c r="T406" i="2"/>
  <c r="Y332" i="2"/>
  <c r="W342" i="2"/>
  <c r="Y406" i="2"/>
  <c r="T337" i="2"/>
  <c r="U337" i="2"/>
  <c r="Y355" i="2"/>
  <c r="V370" i="2"/>
  <c r="U378" i="2"/>
  <c r="U388" i="2"/>
  <c r="T347" i="2"/>
  <c r="T355" i="2"/>
  <c r="Y365" i="2"/>
  <c r="W396" i="2"/>
  <c r="Y342" i="2"/>
  <c r="Y383" i="2"/>
  <c r="X355" i="2"/>
  <c r="W365" i="2"/>
  <c r="X370" i="2"/>
  <c r="T378" i="2"/>
  <c r="Y378" i="2"/>
  <c r="W383" i="2"/>
  <c r="W406" i="2"/>
  <c r="W355" i="2"/>
  <c r="V365" i="2"/>
  <c r="W370" i="2"/>
  <c r="T383" i="2"/>
  <c r="W378" i="2"/>
  <c r="Y401" i="2"/>
  <c r="U347" i="2"/>
  <c r="T365" i="2"/>
  <c r="T342" i="2"/>
  <c r="M22" i="16"/>
  <c r="M5" i="16"/>
  <c r="M34" i="16"/>
  <c r="M13" i="16"/>
  <c r="M10" i="16"/>
  <c r="M23" i="16"/>
  <c r="M6" i="16"/>
  <c r="M31" i="16"/>
  <c r="M24" i="16"/>
  <c r="M12" i="16"/>
  <c r="M20" i="16"/>
  <c r="M11" i="16"/>
  <c r="M30" i="16"/>
  <c r="M26" i="16"/>
  <c r="M18" i="16"/>
  <c r="N26" i="16"/>
  <c r="M28" i="16"/>
  <c r="M16" i="16"/>
  <c r="M32" i="16"/>
  <c r="M17" i="16"/>
  <c r="M7" i="16"/>
  <c r="M29" i="16"/>
  <c r="M19" i="16"/>
  <c r="M8" i="16"/>
  <c r="M25" i="16"/>
  <c r="M14" i="16"/>
  <c r="M4" i="16"/>
  <c r="M33" i="16"/>
  <c r="N31" i="16"/>
  <c r="M27" i="16"/>
  <c r="N25" i="16"/>
  <c r="M21" i="16"/>
  <c r="N19" i="16"/>
  <c r="M15" i="16"/>
  <c r="N13" i="16"/>
  <c r="M9" i="16"/>
  <c r="N7" i="16"/>
  <c r="N29" i="16"/>
  <c r="N23" i="16"/>
  <c r="N17" i="16"/>
  <c r="N11" i="16"/>
  <c r="N5" i="16"/>
  <c r="L2" i="2"/>
  <c r="L3" i="2"/>
  <c r="L4" i="2"/>
  <c r="L5" i="2"/>
  <c r="L6" i="2"/>
  <c r="G229" i="2"/>
  <c r="H229" i="2"/>
  <c r="I229" i="2"/>
  <c r="G226" i="2"/>
  <c r="I226" i="2"/>
  <c r="H226" i="2"/>
  <c r="H220" i="2"/>
  <c r="I220" i="2"/>
  <c r="F226" i="2"/>
  <c r="F217" i="2"/>
  <c r="I217" i="2"/>
  <c r="H217" i="2"/>
  <c r="G298" i="2"/>
  <c r="F298" i="2"/>
  <c r="G301" i="2"/>
  <c r="F301" i="2"/>
  <c r="G304" i="2"/>
  <c r="F304" i="2"/>
  <c r="G307" i="2"/>
  <c r="F307" i="2"/>
  <c r="G317" i="2"/>
  <c r="F317" i="2"/>
  <c r="G320" i="2"/>
  <c r="F320" i="2"/>
  <c r="G311" i="2"/>
  <c r="F311" i="2"/>
  <c r="F314" i="2"/>
  <c r="G314" i="2"/>
  <c r="B153" i="12"/>
  <c r="B154" i="12"/>
  <c r="F229" i="2"/>
  <c r="G217" i="2"/>
  <c r="F220" i="2"/>
  <c r="G220" i="2"/>
  <c r="M39" i="2"/>
  <c r="L40" i="2"/>
  <c r="L41" i="2"/>
  <c r="L42" i="2"/>
  <c r="L43" i="2"/>
  <c r="L44" i="2"/>
  <c r="L45" i="2"/>
  <c r="L46" i="2"/>
  <c r="L47" i="2"/>
  <c r="L48" i="2"/>
  <c r="F56" i="2"/>
  <c r="P56" i="2"/>
  <c r="N80" i="2"/>
  <c r="F38" i="2"/>
  <c r="G32" i="2"/>
  <c r="P37" i="2"/>
  <c r="F65" i="2"/>
  <c r="P64" i="2"/>
  <c r="I56" i="2"/>
  <c r="I30" i="2"/>
  <c r="F31" i="2"/>
  <c r="G25" i="2"/>
  <c r="L90" i="2"/>
  <c r="L91" i="2"/>
  <c r="L92" i="2"/>
  <c r="L93" i="2"/>
  <c r="L94" i="2"/>
  <c r="L95" i="2"/>
  <c r="L96" i="2"/>
  <c r="L97" i="2"/>
  <c r="N39" i="2"/>
  <c r="N40" i="2"/>
  <c r="N41" i="2"/>
  <c r="N42" i="2"/>
  <c r="K19" i="2"/>
  <c r="J19" i="2"/>
  <c r="J13" i="2"/>
  <c r="K174" i="2"/>
  <c r="J174" i="2"/>
  <c r="L174" i="2"/>
  <c r="L175" i="2"/>
  <c r="L176" i="2"/>
  <c r="L177" i="2"/>
  <c r="L178" i="2"/>
  <c r="L179" i="2"/>
  <c r="M2" i="2"/>
  <c r="N2" i="2"/>
  <c r="N3" i="2"/>
  <c r="N4" i="2"/>
  <c r="N5" i="2"/>
  <c r="N6" i="2"/>
  <c r="N19" i="2"/>
  <c r="N20" i="2"/>
  <c r="N21" i="2"/>
  <c r="N22" i="2"/>
  <c r="N23" i="2"/>
  <c r="N24" i="2"/>
  <c r="N204" i="2"/>
  <c r="F57" i="2"/>
  <c r="P57" i="2"/>
  <c r="N45" i="2"/>
  <c r="N46" i="2"/>
  <c r="N43" i="2"/>
  <c r="N44" i="2"/>
  <c r="L25" i="2"/>
  <c r="P31" i="2"/>
  <c r="F66" i="2"/>
  <c r="P65" i="2"/>
  <c r="P38" i="2"/>
  <c r="I57" i="2"/>
  <c r="I31" i="2"/>
  <c r="N81" i="2"/>
  <c r="N82" i="2"/>
  <c r="N90" i="2"/>
  <c r="N91" i="2"/>
  <c r="N92" i="2"/>
  <c r="N93" i="2"/>
  <c r="N94" i="2"/>
  <c r="N95" i="2"/>
  <c r="N96" i="2"/>
  <c r="N97" i="2"/>
  <c r="N86" i="2"/>
  <c r="N87" i="2"/>
  <c r="M90" i="2"/>
  <c r="M19" i="2"/>
  <c r="M13" i="2"/>
  <c r="N13" i="2"/>
  <c r="N14" i="2"/>
  <c r="N15" i="2"/>
  <c r="N16" i="2"/>
  <c r="N17" i="2"/>
  <c r="N18" i="2"/>
  <c r="M174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K7" i="2"/>
  <c r="J7" i="2"/>
  <c r="L7" i="2"/>
  <c r="L8" i="2"/>
  <c r="L9" i="2"/>
  <c r="L10" i="2"/>
  <c r="L11" i="2"/>
  <c r="L12" i="2"/>
  <c r="I12" i="2"/>
  <c r="N205" i="2"/>
  <c r="N206" i="2"/>
  <c r="N207" i="2"/>
  <c r="N208" i="2"/>
  <c r="N209" i="2"/>
  <c r="N210" i="2"/>
  <c r="G49" i="2"/>
  <c r="L49" i="2"/>
  <c r="L50" i="2"/>
  <c r="L51" i="2"/>
  <c r="L52" i="2"/>
  <c r="L53" i="2"/>
  <c r="L54" i="2"/>
  <c r="L55" i="2"/>
  <c r="L56" i="2"/>
  <c r="L57" i="2"/>
  <c r="N25" i="2"/>
  <c r="N26" i="2"/>
  <c r="N27" i="2"/>
  <c r="N28" i="2"/>
  <c r="N29" i="2"/>
  <c r="N30" i="2"/>
  <c r="N31" i="2"/>
  <c r="L26" i="2"/>
  <c r="L27" i="2"/>
  <c r="L28" i="2"/>
  <c r="L29" i="2"/>
  <c r="L30" i="2"/>
  <c r="L31" i="2"/>
  <c r="N48" i="2"/>
  <c r="N47" i="2"/>
  <c r="N89" i="2"/>
  <c r="N88" i="2"/>
  <c r="N7" i="2"/>
  <c r="N8" i="2"/>
  <c r="N9" i="2"/>
  <c r="N10" i="2"/>
  <c r="N11" i="2"/>
  <c r="N12" i="2"/>
  <c r="N84" i="2"/>
  <c r="N83" i="2"/>
  <c r="M25" i="2"/>
  <c r="G58" i="2"/>
  <c r="L58" i="2"/>
  <c r="L59" i="2"/>
  <c r="L60" i="2"/>
  <c r="L61" i="2"/>
  <c r="L62" i="2"/>
  <c r="L63" i="2"/>
  <c r="L64" i="2"/>
  <c r="L65" i="2"/>
  <c r="L66" i="2"/>
  <c r="P66" i="2"/>
  <c r="M7" i="2"/>
  <c r="I15" i="2"/>
  <c r="I16" i="2"/>
  <c r="M49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M58" i="2"/>
  <c r="I17" i="2"/>
  <c r="I18" i="2"/>
  <c r="L170" i="2"/>
  <c r="L171" i="2"/>
  <c r="L172" i="2"/>
  <c r="L173" i="2"/>
  <c r="N170" i="2"/>
  <c r="N171" i="2"/>
  <c r="K76" i="2"/>
  <c r="J76" i="2"/>
  <c r="I77" i="2"/>
  <c r="L76" i="2"/>
  <c r="L77" i="2"/>
  <c r="L78" i="2"/>
  <c r="L79" i="2"/>
  <c r="N173" i="2"/>
  <c r="N172" i="2"/>
  <c r="M76" i="2"/>
  <c r="N76" i="2"/>
  <c r="N77" i="2"/>
  <c r="I79" i="2"/>
  <c r="I78" i="2"/>
  <c r="L67" i="2"/>
  <c r="L68" i="2"/>
  <c r="L69" i="2"/>
  <c r="L70" i="2"/>
  <c r="L71" i="2"/>
  <c r="L72" i="2"/>
  <c r="L73" i="2"/>
  <c r="L74" i="2"/>
  <c r="L75" i="2"/>
  <c r="K67" i="2"/>
  <c r="J67" i="2"/>
  <c r="N79" i="2"/>
  <c r="N78" i="2"/>
  <c r="N67" i="2"/>
  <c r="M67" i="2"/>
  <c r="N68" i="2"/>
  <c r="N70" i="2"/>
  <c r="N69" i="2"/>
  <c r="N72" i="2"/>
  <c r="N74" i="2"/>
  <c r="N75" i="2"/>
  <c r="N71" i="2"/>
  <c r="N73" i="2"/>
  <c r="L32" i="2"/>
  <c r="M32" i="2"/>
  <c r="L33" i="2"/>
  <c r="L34" i="2"/>
  <c r="L35" i="2"/>
  <c r="L36" i="2"/>
  <c r="L37" i="2"/>
  <c r="L38" i="2"/>
  <c r="N32" i="2"/>
  <c r="N33" i="2"/>
  <c r="N34" i="2"/>
  <c r="N35" i="2"/>
  <c r="N36" i="2"/>
  <c r="N37" i="2"/>
  <c r="N38" i="2"/>
</calcChain>
</file>

<file path=xl/sharedStrings.xml><?xml version="1.0" encoding="utf-8"?>
<sst xmlns="http://schemas.openxmlformats.org/spreadsheetml/2006/main" count="2095" uniqueCount="920">
  <si>
    <t>#Torque Tune Motor</t>
  </si>
  <si>
    <t># [mV]</t>
  </si>
  <si>
    <t>[ms/rev]</t>
  </si>
  <si>
    <t>[rpm]</t>
  </si>
  <si>
    <t>#Power Dash Motor</t>
  </si>
  <si>
    <t># RE-260</t>
  </si>
  <si>
    <t>#FA-130RA</t>
  </si>
  <si>
    <t>#RC-260</t>
  </si>
  <si>
    <t>[mVms/rev]</t>
    <phoneticPr fontId="1"/>
  </si>
  <si>
    <t>[rpm]@1.5V</t>
    <phoneticPr fontId="1"/>
  </si>
  <si>
    <t>シングルギヤボックス （4速タイプ）</t>
  </si>
  <si>
    <t>３速クランクギヤーボックスセット</t>
  </si>
  <si>
    <t>4速ウォームギヤボックスHE</t>
  </si>
  <si>
    <t>遊星ギヤーボックスセット</t>
  </si>
  <si>
    <t>[V]</t>
    <phoneticPr fontId="1"/>
  </si>
  <si>
    <t>[mA]</t>
    <phoneticPr fontId="1"/>
  </si>
  <si>
    <t>全 η</t>
    <rPh sb="0" eb="1">
      <t>ゼン</t>
    </rPh>
    <phoneticPr fontId="1"/>
  </si>
  <si>
    <t>個別 η</t>
    <rPh sb="0" eb="2">
      <t>コベツ</t>
    </rPh>
    <phoneticPr fontId="1"/>
  </si>
  <si>
    <t>出力[mW]</t>
    <rPh sb="0" eb="2">
      <t>シュツリョク</t>
    </rPh>
    <phoneticPr fontId="1"/>
  </si>
  <si>
    <t>ミニモーター</t>
    <phoneticPr fontId="1"/>
  </si>
  <si>
    <t>FA-130</t>
    <phoneticPr fontId="1"/>
  </si>
  <si>
    <t>RE-260</t>
    <phoneticPr fontId="1"/>
  </si>
  <si>
    <t>RC-260</t>
    <phoneticPr fontId="1"/>
  </si>
  <si>
    <t>回転数[rpm]</t>
    <rPh sb="0" eb="3">
      <t>カイテンスウ</t>
    </rPh>
    <phoneticPr fontId="1"/>
  </si>
  <si>
    <t>クラッチ作動</t>
    <rPh sb="4" eb="6">
      <t>サドウ</t>
    </rPh>
    <phoneticPr fontId="1"/>
  </si>
  <si>
    <t>計算が合わない</t>
    <rPh sb="0" eb="2">
      <t>ケイサン</t>
    </rPh>
    <rPh sb="3" eb="4">
      <t>ア</t>
    </rPh>
    <phoneticPr fontId="1"/>
  </si>
  <si>
    <t>RE-280-20120</t>
    <phoneticPr fontId="1"/>
  </si>
  <si>
    <t>センサレス
下限回転数</t>
    <rPh sb="6" eb="8">
      <t>カゲン</t>
    </rPh>
    <rPh sb="8" eb="11">
      <t>カイテンスウ</t>
    </rPh>
    <phoneticPr fontId="1"/>
  </si>
  <si>
    <t>RE-280-20120</t>
    <phoneticPr fontId="1"/>
  </si>
  <si>
    <t>RDO-501</t>
    <phoneticPr fontId="1"/>
  </si>
  <si>
    <t>起電力0.5V-1.0V</t>
    <rPh sb="0" eb="3">
      <t>キデンリョク</t>
    </rPh>
    <phoneticPr fontId="1"/>
  </si>
  <si>
    <t>定価
Number</t>
    <rPh sb="0" eb="2">
      <t>テイカ</t>
    </rPh>
    <phoneticPr fontId="1"/>
  </si>
  <si>
    <t>モーター
商品名</t>
    <rPh sb="5" eb="8">
      <t>ショウヒンメイ</t>
    </rPh>
    <phoneticPr fontId="1"/>
  </si>
  <si>
    <t>FA-130</t>
    <phoneticPr fontId="1"/>
  </si>
  <si>
    <t>3pulse/slot</t>
    <phoneticPr fontId="1"/>
  </si>
  <si>
    <t>4pulse/slot</t>
    <phoneticPr fontId="1"/>
  </si>
  <si>
    <t>RE-260</t>
    <phoneticPr fontId="1"/>
  </si>
  <si>
    <t>4pulse/slot</t>
    <phoneticPr fontId="1"/>
  </si>
  <si>
    <t>rpm</t>
    <phoneticPr fontId="1"/>
  </si>
  <si>
    <t>us</t>
    <phoneticPr fontId="1"/>
  </si>
  <si>
    <t>mV</t>
    <phoneticPr fontId="1"/>
  </si>
  <si>
    <t>RE-260風味</t>
    <rPh sb="6" eb="8">
      <t>フウミ</t>
    </rPh>
    <phoneticPr fontId="1"/>
  </si>
  <si>
    <t>MCLRリセット</t>
    <phoneticPr fontId="1"/>
  </si>
  <si>
    <t>リセット命令</t>
    <rPh sb="4" eb="6">
      <t>メイレイ</t>
    </rPh>
    <phoneticPr fontId="1"/>
  </si>
  <si>
    <t>原点復帰</t>
    <rPh sb="0" eb="4">
      <t>ゲンテンフッキ</t>
    </rPh>
    <phoneticPr fontId="1"/>
  </si>
  <si>
    <t>追尾中</t>
    <rPh sb="0" eb="3">
      <t>ツイビチュウ</t>
    </rPh>
    <phoneticPr fontId="1"/>
  </si>
  <si>
    <t>追尾終了</t>
    <rPh sb="0" eb="4">
      <t>ツイビシュウリョウ</t>
    </rPh>
    <phoneticPr fontId="1"/>
  </si>
  <si>
    <t>低消費電力状態</t>
    <rPh sb="0" eb="5">
      <t>テイショウヒデンリョク</t>
    </rPh>
    <rPh sb="5" eb="7">
      <t>ジョウタイ</t>
    </rPh>
    <phoneticPr fontId="1"/>
  </si>
  <si>
    <t>ー</t>
    <phoneticPr fontId="1"/>
  </si>
  <si>
    <t>停止(割り込み無効)</t>
    <rPh sb="0" eb="2">
      <t>テイシ</t>
    </rPh>
    <rPh sb="3" eb="4">
      <t>ワ</t>
    </rPh>
    <rPh sb="5" eb="6">
      <t>コ</t>
    </rPh>
    <rPh sb="7" eb="9">
      <t>ムコウ</t>
    </rPh>
    <phoneticPr fontId="1"/>
  </si>
  <si>
    <t>停止(割り込み有効)</t>
    <rPh sb="0" eb="2">
      <t>テイシ</t>
    </rPh>
    <rPh sb="3" eb="4">
      <t>ワ</t>
    </rPh>
    <rPh sb="5" eb="6">
      <t>コ</t>
    </rPh>
    <rPh sb="7" eb="9">
      <t>ユウコウ</t>
    </rPh>
    <phoneticPr fontId="1"/>
  </si>
  <si>
    <t>クロック停止</t>
    <rPh sb="4" eb="6">
      <t>テイシ</t>
    </rPh>
    <phoneticPr fontId="1"/>
  </si>
  <si>
    <t>16MHz</t>
    <phoneticPr fontId="1"/>
  </si>
  <si>
    <t>状態</t>
    <rPh sb="0" eb="2">
      <t>ジョウタイ</t>
    </rPh>
    <phoneticPr fontId="1"/>
  </si>
  <si>
    <t>割り込み</t>
    <rPh sb="0" eb="1">
      <t>ワ</t>
    </rPh>
    <rPh sb="2" eb="3">
      <t>コ</t>
    </rPh>
    <phoneticPr fontId="1"/>
  </si>
  <si>
    <t>クロック</t>
    <phoneticPr fontId="1"/>
  </si>
  <si>
    <t>MCU</t>
    <phoneticPr fontId="1"/>
  </si>
  <si>
    <t>動作状態(LED点灯)</t>
    <rPh sb="0" eb="2">
      <t>ドウサ</t>
    </rPh>
    <rPh sb="2" eb="4">
      <t>ジョウタイ</t>
    </rPh>
    <rPh sb="8" eb="10">
      <t>テントウ</t>
    </rPh>
    <phoneticPr fontId="1"/>
  </si>
  <si>
    <t>割り込み無効</t>
    <rPh sb="0" eb="1">
      <t>ワ</t>
    </rPh>
    <rPh sb="2" eb="3">
      <t>コ</t>
    </rPh>
    <rPh sb="4" eb="6">
      <t>ムコウ</t>
    </rPh>
    <phoneticPr fontId="1"/>
  </si>
  <si>
    <t>ー</t>
    <phoneticPr fontId="1"/>
  </si>
  <si>
    <t>ー</t>
    <phoneticPr fontId="1"/>
  </si>
  <si>
    <t>POR/BOR/WDTR</t>
    <phoneticPr fontId="1"/>
  </si>
  <si>
    <t>EEPROM</t>
    <phoneticPr fontId="1"/>
  </si>
  <si>
    <t>総バイト数</t>
    <rPh sb="0" eb="1">
      <t>ソウゴウ</t>
    </rPh>
    <rPh sb="4" eb="5">
      <t>スウ</t>
    </rPh>
    <phoneticPr fontId="1"/>
  </si>
  <si>
    <t>バイト数/1記録</t>
    <rPh sb="3" eb="4">
      <t>スウ</t>
    </rPh>
    <rPh sb="6" eb="8">
      <t>キロク</t>
    </rPh>
    <phoneticPr fontId="1"/>
  </si>
  <si>
    <t>更新周期[s]</t>
    <rPh sb="0" eb="4">
      <t>コウシンシュウキ</t>
    </rPh>
    <phoneticPr fontId="1"/>
  </si>
  <si>
    <t>バイト寿命[回]</t>
    <rPh sb="3" eb="5">
      <t>ジュミョウ</t>
    </rPh>
    <rPh sb="6" eb="7">
      <t>カイ</t>
    </rPh>
    <phoneticPr fontId="1"/>
  </si>
  <si>
    <t>期待寿命[h]</t>
    <rPh sb="0" eb="2">
      <t>キタイ</t>
    </rPh>
    <rPh sb="2" eb="4">
      <t>ジュミョウ</t>
    </rPh>
    <phoneticPr fontId="1"/>
  </si>
  <si>
    <t>期待寿命[d]</t>
    <rPh sb="0" eb="2">
      <t>キタイ</t>
    </rPh>
    <rPh sb="2" eb="4">
      <t>ジュミョウ</t>
    </rPh>
    <phoneticPr fontId="1"/>
  </si>
  <si>
    <t>IOC割り込み許可
　低消費電力設定</t>
    <rPh sb="3" eb="4">
      <t>ワ</t>
    </rPh>
    <rPh sb="5" eb="6">
      <t>コ</t>
    </rPh>
    <rPh sb="7" eb="9">
      <t>キョカ</t>
    </rPh>
    <rPh sb="11" eb="16">
      <t>テイショウヒデンリョク</t>
    </rPh>
    <rPh sb="16" eb="18">
      <t>セッテイ</t>
    </rPh>
    <phoneticPr fontId="1"/>
  </si>
  <si>
    <t>ADC割り込み有効</t>
    <phoneticPr fontId="1"/>
  </si>
  <si>
    <t>IOC割り込み有効</t>
    <rPh sb="3" eb="4">
      <t>ワ</t>
    </rPh>
    <rPh sb="5" eb="6">
      <t>コ</t>
    </rPh>
    <rPh sb="7" eb="9">
      <t>ユウコウ</t>
    </rPh>
    <phoneticPr fontId="1"/>
  </si>
  <si>
    <t>停止(割り込み無効)</t>
    <phoneticPr fontId="1"/>
  </si>
  <si>
    <t>リセット</t>
    <phoneticPr fontId="1"/>
  </si>
  <si>
    <t>EEPROM読み出し</t>
    <phoneticPr fontId="1"/>
  </si>
  <si>
    <t>テーブルインデックスの下位8bitの位置に、テーブルインデックス上位7bitを値として書く。</t>
    <rPh sb="11" eb="13">
      <t>カイ</t>
    </rPh>
    <rPh sb="18" eb="20">
      <t>イチ</t>
    </rPh>
    <rPh sb="32" eb="34">
      <t>ジョウイ</t>
    </rPh>
    <rPh sb="39" eb="40">
      <t>アタイ</t>
    </rPh>
    <rPh sb="43" eb="44">
      <t>カ</t>
    </rPh>
    <phoneticPr fontId="1"/>
  </si>
  <si>
    <t>インデックスは2バイト使うが、テーブル１周で１バイトだけ進む。１バイトオーバーラップ。</t>
    <rPh sb="20" eb="21">
      <t>シュウ</t>
    </rPh>
    <rPh sb="28" eb="29">
      <t>スス</t>
    </rPh>
    <phoneticPr fontId="1"/>
  </si>
  <si>
    <t>リセット</t>
    <phoneticPr fontId="1"/>
  </si>
  <si>
    <t>書き込み可能まで一定時間経過後にEEPROMに初期値を書く
低消費電力設定</t>
    <rPh sb="0" eb="1">
      <t>カ</t>
    </rPh>
    <rPh sb="2" eb="3">
      <t>コ</t>
    </rPh>
    <rPh sb="4" eb="6">
      <t>カノウジョウタイ</t>
    </rPh>
    <rPh sb="8" eb="12">
      <t>イッテイジカン</t>
    </rPh>
    <rPh sb="12" eb="15">
      <t>ケイカゴ</t>
    </rPh>
    <rPh sb="30" eb="35">
      <t>テイショウヒデンリョク</t>
    </rPh>
    <rPh sb="35" eb="37">
      <t>セッテイ</t>
    </rPh>
    <phoneticPr fontId="1"/>
  </si>
  <si>
    <t>タイムアウト</t>
    <phoneticPr fontId="1"/>
  </si>
  <si>
    <t>原点復帰
タイムアウト設定</t>
    <rPh sb="0" eb="4">
      <t>ゲンテンフッキ</t>
    </rPh>
    <rPh sb="11" eb="13">
      <t>セッテイ</t>
    </rPh>
    <phoneticPr fontId="1"/>
  </si>
  <si>
    <t>原点復帰SW</t>
    <rPh sb="0" eb="4">
      <t>ゲンテンフッキ</t>
    </rPh>
    <phoneticPr fontId="1"/>
  </si>
  <si>
    <t>動作限界(LUT)</t>
    <rPh sb="0" eb="4">
      <t>ドウサゲンカイ</t>
    </rPh>
    <phoneticPr fontId="1"/>
  </si>
  <si>
    <t>ー</t>
    <phoneticPr fontId="1"/>
  </si>
  <si>
    <t>ー</t>
    <phoneticPr fontId="1"/>
  </si>
  <si>
    <t>停止</t>
    <rPh sb="0" eb="2">
      <t>テイシ</t>
    </rPh>
    <phoneticPr fontId="1"/>
  </si>
  <si>
    <t>イベント</t>
    <phoneticPr fontId="1"/>
  </si>
  <si>
    <t>MCLR</t>
    <phoneticPr fontId="1"/>
  </si>
  <si>
    <t>POR</t>
    <phoneticPr fontId="1"/>
  </si>
  <si>
    <t>BOR</t>
    <phoneticPr fontId="1"/>
  </si>
  <si>
    <t>WDT</t>
    <phoneticPr fontId="1"/>
  </si>
  <si>
    <t>RESET命令</t>
    <rPh sb="5" eb="7">
      <t>メイレイ</t>
    </rPh>
    <phoneticPr fontId="1"/>
  </si>
  <si>
    <t>MCU状態</t>
    <rPh sb="3" eb="5">
      <t>ゲンジョウタイ</t>
    </rPh>
    <phoneticPr fontId="1"/>
  </si>
  <si>
    <t>Active</t>
    <phoneticPr fontId="1"/>
  </si>
  <si>
    <t>Sleep</t>
    <phoneticPr fontId="1"/>
  </si>
  <si>
    <t>Active</t>
    <phoneticPr fontId="1"/>
  </si>
  <si>
    <t>通常起動</t>
    <rPh sb="0" eb="4">
      <t>ツウジョウキドウ</t>
    </rPh>
    <phoneticPr fontId="1"/>
  </si>
  <si>
    <t>Sleep</t>
    <phoneticPr fontId="1"/>
  </si>
  <si>
    <t>Sleep</t>
    <phoneticPr fontId="1"/>
  </si>
  <si>
    <t>RA1操作</t>
    <rPh sb="3" eb="5">
      <t>ソウサ</t>
    </rPh>
    <phoneticPr fontId="1"/>
  </si>
  <si>
    <t>RA3操作</t>
    <rPh sb="3" eb="5">
      <t>ソウサ</t>
    </rPh>
    <phoneticPr fontId="1"/>
  </si>
  <si>
    <t>スタックエラー</t>
    <phoneticPr fontId="1"/>
  </si>
  <si>
    <t>原点復帰処理</t>
    <rPh sb="0" eb="4">
      <t>ゲンテンフッキ</t>
    </rPh>
    <rPh sb="4" eb="6">
      <t>ショリ</t>
    </rPh>
    <phoneticPr fontId="1"/>
  </si>
  <si>
    <t>RA1, RA3</t>
    <phoneticPr fontId="1"/>
  </si>
  <si>
    <t>RA3</t>
    <phoneticPr fontId="1"/>
  </si>
  <si>
    <t>Sleep時IOC</t>
    <rPh sb="5" eb="6">
      <t>ジ</t>
    </rPh>
    <phoneticPr fontId="1"/>
  </si>
  <si>
    <t>IOC設定</t>
    <rPh sb="3" eb="5">
      <t>セッテイ</t>
    </rPh>
    <phoneticPr fontId="1"/>
  </si>
  <si>
    <t>RA1, RA3</t>
    <phoneticPr fontId="1"/>
  </si>
  <si>
    <t>正常終了に使う</t>
    <rPh sb="0" eb="2">
      <t>セイジョウ</t>
    </rPh>
    <rPh sb="2" eb="4">
      <t>シュウリョウ</t>
    </rPh>
    <rPh sb="5" eb="6">
      <t>ツカ</t>
    </rPh>
    <phoneticPr fontId="1"/>
  </si>
  <si>
    <t xml:space="preserve"> </t>
    <phoneticPr fontId="1"/>
  </si>
  <si>
    <t>AO6604</t>
    <phoneticPr fontId="1"/>
  </si>
  <si>
    <t>DMG3420U</t>
    <phoneticPr fontId="1"/>
  </si>
  <si>
    <t>AO3435</t>
    <phoneticPr fontId="1"/>
  </si>
  <si>
    <t>AO3415A</t>
    <phoneticPr fontId="1"/>
  </si>
  <si>
    <t>DMC2038LVT</t>
    <phoneticPr fontId="1"/>
  </si>
  <si>
    <t>SiA533EDJ</t>
    <phoneticPr fontId="1"/>
  </si>
  <si>
    <t>N</t>
    <phoneticPr fontId="1"/>
  </si>
  <si>
    <t>Vth</t>
    <phoneticPr fontId="1"/>
  </si>
  <si>
    <t>RDS@4.5V</t>
    <phoneticPr fontId="1"/>
  </si>
  <si>
    <t>RDS@2.5V</t>
    <phoneticPr fontId="1"/>
  </si>
  <si>
    <t>RDS@1.8V</t>
    <phoneticPr fontId="1"/>
  </si>
  <si>
    <t>RDS@1.5V</t>
    <phoneticPr fontId="1"/>
  </si>
  <si>
    <t>Ciss</t>
    <phoneticPr fontId="1"/>
  </si>
  <si>
    <t>Qg@4.5V</t>
    <phoneticPr fontId="1"/>
  </si>
  <si>
    <t>P</t>
    <phoneticPr fontId="1"/>
  </si>
  <si>
    <t>Ciss</t>
    <phoneticPr fontId="1"/>
  </si>
  <si>
    <t>Qg@4.5V</t>
    <phoneticPr fontId="1"/>
  </si>
  <si>
    <t>AD変換開始</t>
    <rPh sb="2" eb="4">
      <t>ヘンカン</t>
    </rPh>
    <rPh sb="4" eb="6">
      <t>カイシ</t>
    </rPh>
    <phoneticPr fontId="1"/>
  </si>
  <si>
    <t>PWM Duty更新</t>
    <rPh sb="8" eb="10">
      <t>コウシン</t>
    </rPh>
    <phoneticPr fontId="1"/>
  </si>
  <si>
    <t>割り込み時に変換開始</t>
    <rPh sb="0" eb="1">
      <t>ワ</t>
    </rPh>
    <rPh sb="2" eb="3">
      <t>コ</t>
    </rPh>
    <rPh sb="4" eb="5">
      <t>ジ</t>
    </rPh>
    <rPh sb="6" eb="8">
      <t>ヘンカン</t>
    </rPh>
    <rPh sb="8" eb="10">
      <t>カイシ</t>
    </rPh>
    <phoneticPr fontId="1"/>
  </si>
  <si>
    <t>変換開始後の、現在の割り込みでの処理</t>
    <rPh sb="0" eb="5">
      <t>ヘンカンカイシゴ</t>
    </rPh>
    <rPh sb="7" eb="9">
      <t>ゲンザイ</t>
    </rPh>
    <rPh sb="10" eb="11">
      <t>ワ</t>
    </rPh>
    <rPh sb="12" eb="13">
      <t>コ</t>
    </rPh>
    <rPh sb="16" eb="18">
      <t>ショリ</t>
    </rPh>
    <phoneticPr fontId="1"/>
  </si>
  <si>
    <t>DAC</t>
    <phoneticPr fontId="1"/>
  </si>
  <si>
    <t>MOTOR</t>
    <phoneticPr fontId="1"/>
  </si>
  <si>
    <t>間隔設定</t>
    <rPh sb="0" eb="2">
      <t>カンカク</t>
    </rPh>
    <rPh sb="2" eb="4">
      <t>セッテイ</t>
    </rPh>
    <phoneticPr fontId="1"/>
  </si>
  <si>
    <t>MOTOR</t>
    <phoneticPr fontId="1"/>
  </si>
  <si>
    <t>解放</t>
    <rPh sb="0" eb="2">
      <t>カイホウ</t>
    </rPh>
    <phoneticPr fontId="1"/>
  </si>
  <si>
    <t>フィルタ整定時間</t>
    <rPh sb="4" eb="5">
      <t>トトノ</t>
    </rPh>
    <rPh sb="5" eb="6">
      <t>サダ</t>
    </rPh>
    <rPh sb="6" eb="8">
      <t>ジカン</t>
    </rPh>
    <phoneticPr fontId="1"/>
  </si>
  <si>
    <t>6.9CR</t>
    <phoneticPr fontId="1"/>
  </si>
  <si>
    <t>1KΩ×1nFで6.9us</t>
    <phoneticPr fontId="1"/>
  </si>
  <si>
    <t>316Ω×1nFで2.2us</t>
    <phoneticPr fontId="1"/>
  </si>
  <si>
    <t>AD変換最短周期</t>
    <rPh sb="2" eb="4">
      <t>ヘンカン</t>
    </rPh>
    <rPh sb="4" eb="8">
      <t>サイタンシュウキ</t>
    </rPh>
    <phoneticPr fontId="1"/>
  </si>
  <si>
    <t>PWM周期</t>
    <rPh sb="3" eb="5">
      <t>シュウキ</t>
    </rPh>
    <phoneticPr fontId="1"/>
  </si>
  <si>
    <t>ADC変換時間</t>
    <rPh sb="3" eb="5">
      <t>ヘンカン</t>
    </rPh>
    <rPh sb="5" eb="7">
      <t>ジカン</t>
    </rPh>
    <phoneticPr fontId="1"/>
  </si>
  <si>
    <t>周期-処理時間</t>
    <rPh sb="0" eb="2">
      <t>シュウキ</t>
    </rPh>
    <rPh sb="3" eb="7">
      <t>ショリジカン</t>
    </rPh>
    <phoneticPr fontId="1"/>
  </si>
  <si>
    <t>PWM周波数</t>
    <rPh sb="3" eb="6">
      <t>シュウハスウ</t>
    </rPh>
    <phoneticPr fontId="1"/>
  </si>
  <si>
    <t>追尾</t>
    <rPh sb="0" eb="2">
      <t>ツイビ</t>
    </rPh>
    <phoneticPr fontId="1"/>
  </si>
  <si>
    <t>倍速</t>
    <rPh sb="0" eb="2">
      <t>バイソク</t>
    </rPh>
    <phoneticPr fontId="1"/>
  </si>
  <si>
    <t>○</t>
    <phoneticPr fontId="1"/>
  </si>
  <si>
    <t>Back-EMF取得1</t>
    <rPh sb="8" eb="10">
      <t>シュトク</t>
    </rPh>
    <phoneticPr fontId="1"/>
  </si>
  <si>
    <t>Back-EMF取得2</t>
    <rPh sb="8" eb="10">
      <t>シュトク</t>
    </rPh>
    <phoneticPr fontId="1"/>
  </si>
  <si>
    <t>Back-EMF取得1回目</t>
    <rPh sb="8" eb="10">
      <t>シュトク</t>
    </rPh>
    <rPh sb="11" eb="13">
      <t>カイメ</t>
    </rPh>
    <phoneticPr fontId="1"/>
  </si>
  <si>
    <t>Back-EMF取得2回目</t>
    <rPh sb="8" eb="10">
      <t>シュトク</t>
    </rPh>
    <rPh sb="11" eb="13">
      <t>カイメ</t>
    </rPh>
    <phoneticPr fontId="1"/>
  </si>
  <si>
    <t>Back-EMF取得3回目</t>
    <rPh sb="8" eb="10">
      <t>シュトク</t>
    </rPh>
    <rPh sb="11" eb="13">
      <t>カイメ</t>
    </rPh>
    <phoneticPr fontId="1"/>
  </si>
  <si>
    <t>○</t>
    <phoneticPr fontId="1"/>
  </si>
  <si>
    <t>MOTOR</t>
    <phoneticPr fontId="1"/>
  </si>
  <si>
    <t>RSS</t>
    <phoneticPr fontId="1"/>
  </si>
  <si>
    <t>kΩ</t>
    <phoneticPr fontId="1"/>
  </si>
  <si>
    <t>RIC</t>
    <phoneticPr fontId="1"/>
  </si>
  <si>
    <t>RS</t>
    <phoneticPr fontId="1"/>
  </si>
  <si>
    <t>CS</t>
    <phoneticPr fontId="1"/>
  </si>
  <si>
    <t>pF</t>
    <phoneticPr fontId="1"/>
  </si>
  <si>
    <t>ADCサンプリング時間計算</t>
    <rPh sb="9" eb="11">
      <t>ジカン</t>
    </rPh>
    <rPh sb="11" eb="13">
      <t>ケイサン</t>
    </rPh>
    <phoneticPr fontId="1"/>
  </si>
  <si>
    <t>TACQ</t>
    <phoneticPr fontId="1"/>
  </si>
  <si>
    <t>MOTOR</t>
    <phoneticPr fontId="1"/>
  </si>
  <si>
    <t xml:space="preserve"> </t>
    <phoneticPr fontId="1"/>
  </si>
  <si>
    <t>FVR=2048mV設定でVDD低下時に補正するのはめんどくさそう</t>
    <rPh sb="10" eb="12">
      <t>セッテイ</t>
    </rPh>
    <rPh sb="16" eb="19">
      <t>テイカジ</t>
    </rPh>
    <rPh sb="20" eb="22">
      <t>ホセイ</t>
    </rPh>
    <phoneticPr fontId="1"/>
  </si>
  <si>
    <t>DAC(8/32)</t>
    <phoneticPr fontId="1"/>
  </si>
  <si>
    <t>DAC(16/32)</t>
    <phoneticPr fontId="1"/>
  </si>
  <si>
    <t>MOTOR</t>
    <phoneticPr fontId="1"/>
  </si>
  <si>
    <t>ADRES</t>
    <phoneticPr fontId="1"/>
  </si>
  <si>
    <t>出力</t>
    <rPh sb="0" eb="2">
      <t>シュツリョク</t>
    </rPh>
    <phoneticPr fontId="1"/>
  </si>
  <si>
    <t>通常</t>
    <rPh sb="0" eb="2">
      <t>ツウジョウ</t>
    </rPh>
    <phoneticPr fontId="1"/>
  </si>
  <si>
    <t>Back-EMF取得1</t>
    <rPh sb="8" eb="10">
      <t>シュトク</t>
    </rPh>
    <phoneticPr fontId="1"/>
  </si>
  <si>
    <t>Back-EMF取得2</t>
    <rPh sb="8" eb="10">
      <t>シュトク</t>
    </rPh>
    <phoneticPr fontId="1"/>
  </si>
  <si>
    <t>Back-EMF取得3</t>
    <rPh sb="8" eb="10">
      <t>シュトク</t>
    </rPh>
    <phoneticPr fontId="1"/>
  </si>
  <si>
    <t>Back-EMF == 0</t>
    <phoneticPr fontId="1"/>
  </si>
  <si>
    <t>Back-EMF3</t>
    <phoneticPr fontId="1"/>
  </si>
  <si>
    <t>Back-EMF2</t>
    <phoneticPr fontId="1"/>
  </si>
  <si>
    <t>Back-EMF1</t>
    <phoneticPr fontId="1"/>
  </si>
  <si>
    <t>Back-EMF &gt; 0</t>
    <phoneticPr fontId="1"/>
  </si>
  <si>
    <t>解放</t>
    <rPh sb="0" eb="2">
      <t>カイホウ</t>
    </rPh>
    <phoneticPr fontId="1"/>
  </si>
  <si>
    <t>通常(電流立ち上げ)</t>
    <rPh sb="0" eb="2">
      <t>ツウジョウ</t>
    </rPh>
    <rPh sb="3" eb="6">
      <t>デンリュウタ</t>
    </rPh>
    <rPh sb="7" eb="8">
      <t>ア</t>
    </rPh>
    <phoneticPr fontId="1"/>
  </si>
  <si>
    <t>offset</t>
    <phoneticPr fontId="1"/>
  </si>
  <si>
    <t>通常(offset測定, Duty上限あり)</t>
    <rPh sb="0" eb="2">
      <t>ツウジョウ</t>
    </rPh>
    <rPh sb="9" eb="11">
      <t>ソクテイ</t>
    </rPh>
    <rPh sb="17" eb="19">
      <t>ジョウゲン</t>
    </rPh>
    <phoneticPr fontId="1"/>
  </si>
  <si>
    <t>正電圧待ち</t>
    <rPh sb="0" eb="4">
      <t>セイデンアツマ</t>
    </rPh>
    <phoneticPr fontId="1"/>
  </si>
  <si>
    <t>PWM</t>
    <phoneticPr fontId="1"/>
  </si>
  <si>
    <t>動作中</t>
    <rPh sb="0" eb="3">
      <t>ドウサチュウ</t>
    </rPh>
    <phoneticPr fontId="1"/>
  </si>
  <si>
    <t>停止中</t>
    <rPh sb="0" eb="3">
      <t>テイシチュウ</t>
    </rPh>
    <phoneticPr fontId="1"/>
  </si>
  <si>
    <t>AO3438</t>
    <phoneticPr fontId="1"/>
  </si>
  <si>
    <t xml:space="preserve"> </t>
    <phoneticPr fontId="1"/>
  </si>
  <si>
    <t>AO7408</t>
    <phoneticPr fontId="1"/>
  </si>
  <si>
    <t>AO7414</t>
    <phoneticPr fontId="1"/>
  </si>
  <si>
    <t>パッケージ違い</t>
    <rPh sb="5" eb="6">
      <t>チガ</t>
    </rPh>
    <phoneticPr fontId="1"/>
  </si>
  <si>
    <t>VDD</t>
    <phoneticPr fontId="1"/>
  </si>
  <si>
    <t>FVR1024mVを変換したADRES</t>
    <rPh sb="10" eb="12">
      <t>ヘンカン</t>
    </rPh>
    <phoneticPr fontId="1"/>
  </si>
  <si>
    <t>RDS</t>
    <phoneticPr fontId="1"/>
  </si>
  <si>
    <t>LED電流</t>
    <rPh sb="3" eb="5">
      <t>デンリュウ</t>
    </rPh>
    <phoneticPr fontId="1"/>
  </si>
  <si>
    <t>AO3413</t>
    <phoneticPr fontId="1"/>
  </si>
  <si>
    <t>WP710A</t>
  </si>
  <si>
    <t>old</t>
  </si>
  <si>
    <t>OSDR</t>
  </si>
  <si>
    <t>215Ω両端の電圧</t>
    <rPh sb="4" eb="6">
      <t>リョウタン</t>
    </rPh>
    <rPh sb="7" eb="9">
      <t>デンアツ</t>
    </rPh>
    <phoneticPr fontId="1"/>
  </si>
  <si>
    <t>電流</t>
    <rPh sb="0" eb="2">
      <t>デンリュウ</t>
    </rPh>
    <phoneticPr fontId="1"/>
  </si>
  <si>
    <t>全抵抗</t>
    <rPh sb="0" eb="1">
      <t>ゼン</t>
    </rPh>
    <rPh sb="1" eb="3">
      <t>テイコウ</t>
    </rPh>
    <phoneticPr fontId="1"/>
  </si>
  <si>
    <t>全抵抗-215Ω</t>
    <rPh sb="0" eb="3">
      <t>ゼンテイコウ</t>
    </rPh>
    <phoneticPr fontId="1"/>
  </si>
  <si>
    <t>Duty</t>
    <phoneticPr fontId="1"/>
  </si>
  <si>
    <t>LED電流が約0.3mA</t>
    <rPh sb="3" eb="5">
      <t>デンリュウ</t>
    </rPh>
    <rPh sb="6" eb="7">
      <t>ヤク</t>
    </rPh>
    <phoneticPr fontId="1"/>
  </si>
  <si>
    <t>LED電流が約0.6mA</t>
    <rPh sb="3" eb="5">
      <t>デンリュウ</t>
    </rPh>
    <rPh sb="6" eb="7">
      <t>ヤク</t>
    </rPh>
    <phoneticPr fontId="1"/>
  </si>
  <si>
    <t>LED電流が約1.2mA</t>
    <rPh sb="3" eb="5">
      <t>デンリュウ</t>
    </rPh>
    <rPh sb="6" eb="7">
      <t>ヤク</t>
    </rPh>
    <phoneticPr fontId="1"/>
  </si>
  <si>
    <t>LED 1.6V</t>
    <phoneticPr fontId="1"/>
  </si>
  <si>
    <t>LED 1.8V</t>
    <phoneticPr fontId="1"/>
  </si>
  <si>
    <t>LED 2.0V</t>
    <phoneticPr fontId="1"/>
  </si>
  <si>
    <t>256us周期最大で、6usサンプリング時間をとるなら、FVR変換時のADRESを192(CCPR=24)最小とすればよい。つまり、5.46Vまでは一定の明るさを維持する。
もしくは256us周期かつPR=1024固定とすると、6.3V時でCCPR=29となって、7.4usほどサンプリング時間が取れる。</t>
    <rPh sb="5" eb="7">
      <t>シュウキ</t>
    </rPh>
    <rPh sb="7" eb="9">
      <t>サイダイ</t>
    </rPh>
    <rPh sb="20" eb="22">
      <t>ジカン</t>
    </rPh>
    <rPh sb="31" eb="33">
      <t>ヘンカン</t>
    </rPh>
    <rPh sb="33" eb="34">
      <t>ジ</t>
    </rPh>
    <rPh sb="53" eb="55">
      <t>サイショウ</t>
    </rPh>
    <rPh sb="74" eb="76">
      <t>イッテイ</t>
    </rPh>
    <rPh sb="77" eb="78">
      <t>アカ</t>
    </rPh>
    <rPh sb="81" eb="83">
      <t>イジ</t>
    </rPh>
    <rPh sb="96" eb="98">
      <t>シュウキ</t>
    </rPh>
    <rPh sb="107" eb="109">
      <t>コテイ</t>
    </rPh>
    <rPh sb="118" eb="119">
      <t>ジ</t>
    </rPh>
    <rPh sb="145" eb="147">
      <t>ジカン</t>
    </rPh>
    <rPh sb="148" eb="149">
      <t>ト</t>
    </rPh>
    <phoneticPr fontId="1"/>
  </si>
  <si>
    <t>時刻</t>
    <rPh sb="0" eb="2">
      <t>ジコク</t>
    </rPh>
    <phoneticPr fontId="1"/>
  </si>
  <si>
    <t>ADC</t>
    <phoneticPr fontId="1"/>
  </si>
  <si>
    <t>Back-EMF整列1-2</t>
    <rPh sb="8" eb="10">
      <t>セイレツ</t>
    </rPh>
    <phoneticPr fontId="1"/>
  </si>
  <si>
    <t>VREF</t>
    <phoneticPr fontId="1"/>
  </si>
  <si>
    <t>VDD</t>
    <phoneticPr fontId="1"/>
  </si>
  <si>
    <t>LED電流取得</t>
    <rPh sb="3" eb="5">
      <t>デンリュウ</t>
    </rPh>
    <rPh sb="5" eb="7">
      <t>シュトク</t>
    </rPh>
    <phoneticPr fontId="1"/>
  </si>
  <si>
    <t>Back-EMF整列2-3</t>
    <rPh sb="8" eb="10">
      <t>セイレツ</t>
    </rPh>
    <phoneticPr fontId="1"/>
  </si>
  <si>
    <t>HB出力</t>
    <rPh sb="2" eb="4">
      <t>シュツリョク</t>
    </rPh>
    <phoneticPr fontId="1"/>
  </si>
  <si>
    <t>立ち上げ</t>
    <rPh sb="0" eb="1">
      <t>タ</t>
    </rPh>
    <rPh sb="2" eb="3">
      <t>ア</t>
    </rPh>
    <phoneticPr fontId="1"/>
  </si>
  <si>
    <t>接続</t>
    <rPh sb="0" eb="2">
      <t>セツゾク</t>
    </rPh>
    <phoneticPr fontId="1"/>
  </si>
  <si>
    <t>us</t>
    <phoneticPr fontId="1"/>
  </si>
  <si>
    <t>kHz</t>
    <phoneticPr fontId="1"/>
  </si>
  <si>
    <t>Duty出力</t>
    <rPh sb="4" eb="6">
      <t>シュツリョク</t>
    </rPh>
    <phoneticPr fontId="1"/>
  </si>
  <si>
    <t>MUX</t>
    <phoneticPr fontId="1"/>
  </si>
  <si>
    <t>FVR 1V</t>
    <phoneticPr fontId="1"/>
  </si>
  <si>
    <t>FVR 2V</t>
    <phoneticPr fontId="1"/>
  </si>
  <si>
    <t>DAC電圧取得設定</t>
    <rPh sb="3" eb="5">
      <t>デンアツ</t>
    </rPh>
    <rPh sb="5" eb="9">
      <t>シュトクセッテイ</t>
    </rPh>
    <phoneticPr fontId="1"/>
  </si>
  <si>
    <t>LED電流変換開始</t>
    <rPh sb="3" eb="5">
      <t>デンリュウ</t>
    </rPh>
    <rPh sb="5" eb="9">
      <t>ヘンカンカイシ</t>
    </rPh>
    <phoneticPr fontId="1"/>
  </si>
  <si>
    <t>慣らし</t>
    <rPh sb="0" eb="1">
      <t>ナ</t>
    </rPh>
    <phoneticPr fontId="1"/>
  </si>
  <si>
    <t>○</t>
  </si>
  <si>
    <t>○</t>
    <phoneticPr fontId="1"/>
  </si>
  <si>
    <t>○</t>
    <phoneticPr fontId="1"/>
  </si>
  <si>
    <t>常に真</t>
    <rPh sb="0" eb="1">
      <t>ツネ</t>
    </rPh>
    <rPh sb="2" eb="3">
      <t>シン</t>
    </rPh>
    <phoneticPr fontId="1"/>
  </si>
  <si>
    <t>○</t>
    <phoneticPr fontId="1"/>
  </si>
  <si>
    <t>処理</t>
    <rPh sb="0" eb="2">
      <t>ショリ</t>
    </rPh>
    <phoneticPr fontId="1"/>
  </si>
  <si>
    <t>モーター動作指示</t>
    <rPh sb="4" eb="6">
      <t>ドウサ</t>
    </rPh>
    <rPh sb="6" eb="8">
      <t>シジ</t>
    </rPh>
    <phoneticPr fontId="1"/>
  </si>
  <si>
    <t>○</t>
    <phoneticPr fontId="1"/>
  </si>
  <si>
    <t>LED電流更新</t>
    <rPh sb="3" eb="5">
      <t>デンリュウ</t>
    </rPh>
    <rPh sb="5" eb="7">
      <t>コウシン</t>
    </rPh>
    <phoneticPr fontId="1"/>
  </si>
  <si>
    <t>FVR変換開始</t>
    <rPh sb="3" eb="7">
      <t>ヘンカンカイシ</t>
    </rPh>
    <phoneticPr fontId="1"/>
  </si>
  <si>
    <t>FVR値取得</t>
    <rPh sb="3" eb="4">
      <t>アタイ</t>
    </rPh>
    <rPh sb="4" eb="6">
      <t>シュトク</t>
    </rPh>
    <phoneticPr fontId="1"/>
  </si>
  <si>
    <t>LED 通常</t>
    <rPh sb="4" eb="6">
      <t>ツウジョウ</t>
    </rPh>
    <phoneticPr fontId="1"/>
  </si>
  <si>
    <t>LED 強制ON</t>
    <rPh sb="4" eb="6">
      <t>キョウセイ</t>
    </rPh>
    <phoneticPr fontId="1"/>
  </si>
  <si>
    <t>しない</t>
    <phoneticPr fontId="1"/>
  </si>
  <si>
    <t>N.A.</t>
    <phoneticPr fontId="1"/>
  </si>
  <si>
    <t>HB接続設定</t>
    <rPh sb="2" eb="4">
      <t>セツゾク</t>
    </rPh>
    <rPh sb="4" eb="6">
      <t>セッテイ</t>
    </rPh>
    <phoneticPr fontId="1"/>
  </si>
  <si>
    <t>HB即時解放</t>
    <rPh sb="2" eb="4">
      <t>ソクジ</t>
    </rPh>
    <rPh sb="4" eb="6">
      <t>カイホウ</t>
    </rPh>
    <phoneticPr fontId="1"/>
  </si>
  <si>
    <t>立ち上げDuty設定</t>
    <rPh sb="0" eb="1">
      <t>タ</t>
    </rPh>
    <rPh sb="2" eb="3">
      <t>ア</t>
    </rPh>
    <rPh sb="8" eb="10">
      <t>セッテイ</t>
    </rPh>
    <phoneticPr fontId="1"/>
  </si>
  <si>
    <t>前回値Duty設定</t>
    <rPh sb="7" eb="9">
      <t>セッテイ</t>
    </rPh>
    <phoneticPr fontId="1"/>
  </si>
  <si>
    <t>更新値Duty設定</t>
    <rPh sb="0" eb="3">
      <t>コウシンチ</t>
    </rPh>
    <rPh sb="7" eb="9">
      <t>セッテイ</t>
    </rPh>
    <phoneticPr fontId="1"/>
  </si>
  <si>
    <t>LED出力</t>
    <rPh sb="3" eb="5">
      <t>シュツリョク</t>
    </rPh>
    <phoneticPr fontId="1"/>
  </si>
  <si>
    <t>強制ON</t>
    <rPh sb="0" eb="2">
      <t>キョウセイ</t>
    </rPh>
    <phoneticPr fontId="1"/>
  </si>
  <si>
    <t>通常PWM</t>
    <rPh sb="0" eb="2">
      <t>ツウジョウ</t>
    </rPh>
    <phoneticPr fontId="1"/>
  </si>
  <si>
    <t>Back-EMF取得時刻設定</t>
    <rPh sb="8" eb="10">
      <t>シュトク</t>
    </rPh>
    <rPh sb="10" eb="12">
      <t>ジコク</t>
    </rPh>
    <rPh sb="12" eb="14">
      <t>シュウキセッテイ</t>
    </rPh>
    <phoneticPr fontId="1"/>
  </si>
  <si>
    <t>MOTOR電圧取得設定</t>
    <rPh sb="5" eb="7">
      <t>デンアツ</t>
    </rPh>
    <rPh sb="7" eb="9">
      <t>シュトク</t>
    </rPh>
    <rPh sb="9" eb="11">
      <t>セッテイ</t>
    </rPh>
    <phoneticPr fontId="1"/>
  </si>
  <si>
    <t>PWM再開設定</t>
    <rPh sb="3" eb="5">
      <t>サイカイ</t>
    </rPh>
    <rPh sb="5" eb="7">
      <t>セッテイ</t>
    </rPh>
    <phoneticPr fontId="1"/>
  </si>
  <si>
    <t>割り込み要求クリア</t>
    <rPh sb="0" eb="1">
      <t>ワ</t>
    </rPh>
    <rPh sb="2" eb="3">
      <t>コ</t>
    </rPh>
    <rPh sb="4" eb="6">
      <t>ヨウキュウ</t>
    </rPh>
    <phoneticPr fontId="1"/>
  </si>
  <si>
    <t>BSS806N</t>
    <phoneticPr fontId="1"/>
  </si>
  <si>
    <t xml:space="preserve"> </t>
    <phoneticPr fontId="1"/>
  </si>
  <si>
    <t>Qg@2.5V</t>
    <phoneticPr fontId="1"/>
  </si>
  <si>
    <t>↓反転</t>
    <rPh sb="1" eb="3">
      <t>ハンテン</t>
    </rPh>
    <phoneticPr fontId="1"/>
  </si>
  <si>
    <t>↓そのまま</t>
    <phoneticPr fontId="1"/>
  </si>
  <si>
    <t>EEPROMからの読み出し値を検証し、FLASH読み出しアドレスを設定</t>
    <rPh sb="9" eb="10">
      <t>ヨ</t>
    </rPh>
    <rPh sb="11" eb="12">
      <t>ダ</t>
    </rPh>
    <rPh sb="13" eb="14">
      <t>チ</t>
    </rPh>
    <rPh sb="15" eb="17">
      <t>ケンショウ</t>
    </rPh>
    <rPh sb="24" eb="25">
      <t>ヨ</t>
    </rPh>
    <rPh sb="26" eb="27">
      <t>ダ</t>
    </rPh>
    <rPh sb="33" eb="35">
      <t>セッテイ</t>
    </rPh>
    <phoneticPr fontId="1"/>
  </si>
  <si>
    <t>FLASH読み出しアドレスから値を読み出す</t>
    <rPh sb="5" eb="6">
      <t>ヨ</t>
    </rPh>
    <rPh sb="7" eb="8">
      <t>ダ</t>
    </rPh>
    <rPh sb="15" eb="16">
      <t>アタイ</t>
    </rPh>
    <rPh sb="17" eb="18">
      <t>ヨ</t>
    </rPh>
    <rPh sb="19" eb="20">
      <t>ダ</t>
    </rPh>
    <phoneticPr fontId="1"/>
  </si>
  <si>
    <t>初期化時</t>
    <rPh sb="0" eb="3">
      <t>ショキカ</t>
    </rPh>
    <rPh sb="3" eb="4">
      <t>ジ</t>
    </rPh>
    <phoneticPr fontId="1"/>
  </si>
  <si>
    <t>FLASH読み出しアドレスを更新する</t>
    <rPh sb="14" eb="16">
      <t>コウシン</t>
    </rPh>
    <phoneticPr fontId="1"/>
  </si>
  <si>
    <t>A</t>
    <phoneticPr fontId="1"/>
  </si>
  <si>
    <t>C</t>
    <phoneticPr fontId="1"/>
  </si>
  <si>
    <t>初期化時、FLASH読み出しアドレス更新時、FLASH読み出しアドレス初期化時</t>
    <rPh sb="0" eb="3">
      <t>ショキカ</t>
    </rPh>
    <rPh sb="3" eb="4">
      <t>ジ</t>
    </rPh>
    <rPh sb="10" eb="11">
      <t>ヨ</t>
    </rPh>
    <rPh sb="12" eb="13">
      <t>ダ</t>
    </rPh>
    <rPh sb="18" eb="20">
      <t>コウシン</t>
    </rPh>
    <rPh sb="20" eb="21">
      <t>ジ</t>
    </rPh>
    <rPh sb="27" eb="28">
      <t>ヨ</t>
    </rPh>
    <rPh sb="29" eb="30">
      <t>ダ</t>
    </rPh>
    <rPh sb="35" eb="39">
      <t>ショキカジ</t>
    </rPh>
    <phoneticPr fontId="1"/>
  </si>
  <si>
    <t>FLASH読み出しアドレスを初期値にする</t>
    <rPh sb="14" eb="16">
      <t>ショキカ</t>
    </rPh>
    <rPh sb="16" eb="17">
      <t>チ</t>
    </rPh>
    <phoneticPr fontId="1"/>
  </si>
  <si>
    <t>FLASH読み出しアドレス更新時、FLASH読み出しアドレス初期化時</t>
    <rPh sb="5" eb="6">
      <t>ヨ</t>
    </rPh>
    <rPh sb="7" eb="8">
      <t>ダ</t>
    </rPh>
    <rPh sb="13" eb="15">
      <t>コウシン</t>
    </rPh>
    <rPh sb="15" eb="16">
      <t>ジ</t>
    </rPh>
    <rPh sb="22" eb="23">
      <t>ヨ</t>
    </rPh>
    <rPh sb="24" eb="25">
      <t>ダ</t>
    </rPh>
    <rPh sb="30" eb="34">
      <t>ショキカジ</t>
    </rPh>
    <phoneticPr fontId="1"/>
  </si>
  <si>
    <t>定周期</t>
    <rPh sb="0" eb="3">
      <t>テイシュウキ</t>
    </rPh>
    <phoneticPr fontId="1"/>
  </si>
  <si>
    <t>最新のEEPROM書き込みアドレスを探索し値を読み出す、書き込みアドレスを更新する</t>
    <rPh sb="0" eb="2">
      <t>サイシン</t>
    </rPh>
    <rPh sb="9" eb="10">
      <t>カ</t>
    </rPh>
    <rPh sb="11" eb="12">
      <t>コ</t>
    </rPh>
    <rPh sb="18" eb="20">
      <t>タンサク</t>
    </rPh>
    <rPh sb="21" eb="22">
      <t>アタイ</t>
    </rPh>
    <rPh sb="23" eb="24">
      <t>ヨ</t>
    </rPh>
    <rPh sb="25" eb="26">
      <t>ダ</t>
    </rPh>
    <rPh sb="28" eb="29">
      <t>カ</t>
    </rPh>
    <rPh sb="30" eb="31">
      <t>コ</t>
    </rPh>
    <rPh sb="37" eb="39">
      <t>コウシン</t>
    </rPh>
    <phoneticPr fontId="1"/>
  </si>
  <si>
    <t>書き込み値が異なる場合、値を書き込む</t>
    <rPh sb="0" eb="1">
      <t>カ</t>
    </rPh>
    <rPh sb="2" eb="3">
      <t>コ</t>
    </rPh>
    <rPh sb="4" eb="5">
      <t>チ</t>
    </rPh>
    <rPh sb="6" eb="7">
      <t>コト</t>
    </rPh>
    <rPh sb="9" eb="11">
      <t>バアイ</t>
    </rPh>
    <rPh sb="12" eb="13">
      <t>アタイ</t>
    </rPh>
    <rPh sb="14" eb="15">
      <t>カ</t>
    </rPh>
    <rPh sb="16" eb="17">
      <t>コ</t>
    </rPh>
    <phoneticPr fontId="1"/>
  </si>
  <si>
    <t>F</t>
    <phoneticPr fontId="1"/>
  </si>
  <si>
    <t>シーケンスビットが違う連続する2バイト場所を探す。なければ最後尾を下位、先頭を上位とする。</t>
    <rPh sb="9" eb="10">
      <t>チガ</t>
    </rPh>
    <rPh sb="11" eb="13">
      <t>レンゾク</t>
    </rPh>
    <rPh sb="19" eb="21">
      <t>バショ</t>
    </rPh>
    <rPh sb="22" eb="23">
      <t>サガ</t>
    </rPh>
    <rPh sb="29" eb="32">
      <t>サイコウビ</t>
    </rPh>
    <rPh sb="33" eb="35">
      <t>カイ</t>
    </rPh>
    <rPh sb="36" eb="38">
      <t>セントウ</t>
    </rPh>
    <rPh sb="39" eb="41">
      <t>ジョウイ</t>
    </rPh>
    <phoneticPr fontId="1"/>
  </si>
  <si>
    <t>上位バイトに変更があれば、書き込む</t>
    <rPh sb="0" eb="2">
      <t>ジョウイ</t>
    </rPh>
    <rPh sb="6" eb="8">
      <t>ヘンコウ</t>
    </rPh>
    <rPh sb="13" eb="14">
      <t>カ</t>
    </rPh>
    <rPh sb="15" eb="16">
      <t>コ</t>
    </rPh>
    <phoneticPr fontId="1"/>
  </si>
  <si>
    <t>下位バイトに変更があれば、書き込み</t>
    <rPh sb="0" eb="2">
      <t>カイ</t>
    </rPh>
    <rPh sb="6" eb="8">
      <t>ヘンコウ</t>
    </rPh>
    <rPh sb="13" eb="14">
      <t>カ</t>
    </rPh>
    <rPh sb="15" eb="16">
      <t>コ</t>
    </rPh>
    <phoneticPr fontId="1"/>
  </si>
  <si>
    <t>EEPROMの読み出し値をFLASH読み出しアドレスに変換し保存する</t>
    <rPh sb="7" eb="8">
      <t>ヨ</t>
    </rPh>
    <rPh sb="9" eb="10">
      <t>ダ</t>
    </rPh>
    <rPh sb="11" eb="12">
      <t>チ</t>
    </rPh>
    <rPh sb="18" eb="19">
      <t>ヨ</t>
    </rPh>
    <rPh sb="20" eb="21">
      <t>ダ</t>
    </rPh>
    <rPh sb="27" eb="29">
      <t>ヘンカン</t>
    </rPh>
    <rPh sb="30" eb="32">
      <t>ホゾン</t>
    </rPh>
    <phoneticPr fontId="1"/>
  </si>
  <si>
    <t>書き込み用にシーケンスビットを分離し更新しておく</t>
    <rPh sb="0" eb="1">
      <t>カ</t>
    </rPh>
    <rPh sb="2" eb="3">
      <t>コ</t>
    </rPh>
    <rPh sb="4" eb="5">
      <t>ヨウ</t>
    </rPh>
    <rPh sb="15" eb="17">
      <t>ブンリ</t>
    </rPh>
    <rPh sb="18" eb="20">
      <t>コウシン</t>
    </rPh>
    <phoneticPr fontId="1"/>
  </si>
  <si>
    <t>書き込み位置を更新し、EEPROMを読み出してEEPROMの読み出し値として保存する</t>
    <rPh sb="0" eb="1">
      <t>カ</t>
    </rPh>
    <rPh sb="2" eb="3">
      <t>コ</t>
    </rPh>
    <rPh sb="4" eb="6">
      <t>イチ</t>
    </rPh>
    <rPh sb="7" eb="9">
      <t>コウシン</t>
    </rPh>
    <rPh sb="38" eb="40">
      <t>ホゾン</t>
    </rPh>
    <phoneticPr fontId="1"/>
  </si>
  <si>
    <t>上位バイトについて、FLASH読み出しアドレスを変換し、シーケンスビットを付加する</t>
    <rPh sb="0" eb="2">
      <t>ジョウイ</t>
    </rPh>
    <rPh sb="24" eb="26">
      <t>ヘンカン</t>
    </rPh>
    <rPh sb="37" eb="39">
      <t>フカ</t>
    </rPh>
    <phoneticPr fontId="1"/>
  </si>
  <si>
    <t>下位バイトについて、FLASH読み出しアドレスを変換し、シーケンスビットを付加する</t>
    <rPh sb="0" eb="2">
      <t>カイ</t>
    </rPh>
    <rPh sb="24" eb="26">
      <t>ヘンカン</t>
    </rPh>
    <rPh sb="37" eb="39">
      <t>フカ</t>
    </rPh>
    <phoneticPr fontId="1"/>
  </si>
  <si>
    <t>初期読み出し時に書き込み先を進める</t>
    <rPh sb="0" eb="3">
      <t>ショキヨ</t>
    </rPh>
    <rPh sb="4" eb="5">
      <t>ダ</t>
    </rPh>
    <rPh sb="6" eb="7">
      <t>ジ</t>
    </rPh>
    <rPh sb="8" eb="9">
      <t>カ</t>
    </rPh>
    <rPh sb="10" eb="11">
      <t>コ</t>
    </rPh>
    <rPh sb="12" eb="13">
      <t>サキ</t>
    </rPh>
    <rPh sb="14" eb="15">
      <t>スス</t>
    </rPh>
    <phoneticPr fontId="1"/>
  </si>
  <si>
    <t>シーケンスビットの使い方
初期化のときにエントリが1バイト進むようにして、上位バイトの書き換え頻度を減らし寿命を延ばす</t>
    <rPh sb="9" eb="10">
      <t>ツカ</t>
    </rPh>
    <rPh sb="11" eb="12">
      <t>カタ</t>
    </rPh>
    <rPh sb="13" eb="15">
      <t>ショキカジ</t>
    </rPh>
    <rPh sb="15" eb="16">
      <t>カ</t>
    </rPh>
    <rPh sb="29" eb="30">
      <t>スス</t>
    </rPh>
    <rPh sb="37" eb="39">
      <t>ジョウイ</t>
    </rPh>
    <rPh sb="43" eb="44">
      <t>カ</t>
    </rPh>
    <rPh sb="45" eb="46">
      <t>カ</t>
    </rPh>
    <rPh sb="47" eb="49">
      <t>ヒンド</t>
    </rPh>
    <rPh sb="50" eb="51">
      <t>ヘ</t>
    </rPh>
    <rPh sb="53" eb="55">
      <t>ジュミョウ</t>
    </rPh>
    <rPh sb="56" eb="57">
      <t>ノ</t>
    </rPh>
    <phoneticPr fontId="1"/>
  </si>
  <si>
    <t>1回の書き込みで257/256バイト書き換えられるので、1秒ごとの更新の場合の寿命は右の時間数になる。</t>
    <rPh sb="1" eb="2">
      <t>カイ</t>
    </rPh>
    <rPh sb="3" eb="4">
      <t>カ</t>
    </rPh>
    <rPh sb="5" eb="6">
      <t>コ</t>
    </rPh>
    <rPh sb="18" eb="19">
      <t>カ</t>
    </rPh>
    <rPh sb="20" eb="21">
      <t>カ</t>
    </rPh>
    <rPh sb="29" eb="30">
      <t>ビョウ</t>
    </rPh>
    <rPh sb="33" eb="35">
      <t>コウシン</t>
    </rPh>
    <rPh sb="36" eb="38">
      <t>バアイ</t>
    </rPh>
    <rPh sb="39" eb="41">
      <t>ジュミョウ</t>
    </rPh>
    <rPh sb="42" eb="43">
      <t>ミギ</t>
    </rPh>
    <rPh sb="44" eb="47">
      <t>ジカンスウ</t>
    </rPh>
    <phoneticPr fontId="1"/>
  </si>
  <si>
    <t>動作限界SW作動時、原点復帰SW作動時、ループ読み出しで先頭に戻る時</t>
    <rPh sb="0" eb="4">
      <t>ドウサゲンカイ</t>
    </rPh>
    <rPh sb="6" eb="9">
      <t>サドウジ</t>
    </rPh>
    <rPh sb="10" eb="14">
      <t>ゲンテンフッキ</t>
    </rPh>
    <rPh sb="16" eb="19">
      <t>サドウジ</t>
    </rPh>
    <rPh sb="23" eb="24">
      <t>ヨ</t>
    </rPh>
    <rPh sb="25" eb="26">
      <t>ダ</t>
    </rPh>
    <rPh sb="28" eb="30">
      <t>セントウ</t>
    </rPh>
    <rPh sb="31" eb="32">
      <t>モド</t>
    </rPh>
    <rPh sb="33" eb="34">
      <t>トキ</t>
    </rPh>
    <phoneticPr fontId="1"/>
  </si>
  <si>
    <t>LUT先頭に戻る</t>
    <rPh sb="3" eb="5">
      <t>セントウ</t>
    </rPh>
    <rPh sb="6" eb="7">
      <t>モド</t>
    </rPh>
    <phoneticPr fontId="1"/>
  </si>
  <si>
    <t>原点復帰SWだけがある</t>
    <phoneticPr fontId="1"/>
  </si>
  <si>
    <t>動作限界SWだけがある</t>
    <phoneticPr fontId="1"/>
  </si>
  <si>
    <t>原点復帰SWと動作限界SWの両方がある</t>
    <phoneticPr fontId="1"/>
  </si>
  <si>
    <t>原点復帰SWも動作限界SWもない</t>
    <phoneticPr fontId="1"/>
  </si>
  <si>
    <t>原点復帰</t>
    <rPh sb="0" eb="2">
      <t>ゲンテン</t>
    </rPh>
    <rPh sb="2" eb="4">
      <t>フッキ</t>
    </rPh>
    <phoneticPr fontId="1"/>
  </si>
  <si>
    <t>動作限界</t>
    <rPh sb="0" eb="4">
      <t>ドウサゲンカイ</t>
    </rPh>
    <phoneticPr fontId="1"/>
  </si>
  <si>
    <t>LUT最後のエントリを超えた場合</t>
    <phoneticPr fontId="1"/>
  </si>
  <si>
    <t>CYCLIC_LUT=1</t>
    <phoneticPr fontId="1"/>
  </si>
  <si>
    <t xml:space="preserve">停止, LUT先頭に戻る  </t>
    <rPh sb="0" eb="2">
      <t>テイシ</t>
    </rPh>
    <phoneticPr fontId="1"/>
  </si>
  <si>
    <t>LUT先頭に戻る
停止(リセット・原点復帰待ち)</t>
    <rPh sb="3" eb="5">
      <t>セントウ</t>
    </rPh>
    <rPh sb="6" eb="7">
      <t>モド</t>
    </rPh>
    <rPh sb="9" eb="11">
      <t>テイシ</t>
    </rPh>
    <rPh sb="17" eb="19">
      <t>ゲンテン</t>
    </rPh>
    <rPh sb="19" eb="21">
      <t>フッキ</t>
    </rPh>
    <rPh sb="21" eb="22">
      <t>マ</t>
    </rPh>
    <phoneticPr fontId="1"/>
  </si>
  <si>
    <t>LUT先頭に戻る
停止(リセット待ち)</t>
    <rPh sb="3" eb="5">
      <t>セントウ</t>
    </rPh>
    <rPh sb="6" eb="7">
      <t>モド</t>
    </rPh>
    <rPh sb="9" eb="11">
      <t>テイシ</t>
    </rPh>
    <rPh sb="16" eb="17">
      <t>マ</t>
    </rPh>
    <phoneticPr fontId="1"/>
  </si>
  <si>
    <t>initialize_lut_index</t>
    <phoneticPr fontId="1"/>
  </si>
  <si>
    <t>load_lut_entry</t>
    <phoneticPr fontId="1"/>
  </si>
  <si>
    <t>save_lut_index</t>
    <phoneticPr fontId="1"/>
  </si>
  <si>
    <t>restore_lut_index</t>
    <phoneticPr fontId="1"/>
  </si>
  <si>
    <t>validate_lut_index</t>
    <phoneticPr fontId="1"/>
  </si>
  <si>
    <t xml:space="preserve">x </t>
  </si>
  <si>
    <t xml:space="preserve">Power-on Reset </t>
  </si>
  <si>
    <t xml:space="preserve">Illegal, TO is set on POR </t>
  </si>
  <si>
    <t xml:space="preserve">Illegal, PD is set on POR </t>
  </si>
  <si>
    <t xml:space="preserve">u </t>
  </si>
  <si>
    <t xml:space="preserve">Brown-out Reset </t>
  </si>
  <si>
    <t xml:space="preserve">WDT Reset </t>
  </si>
  <si>
    <t xml:space="preserve">WDT Wake-up from Sleep </t>
  </si>
  <si>
    <t xml:space="preserve">Interrupt Wake-up from Sleep </t>
  </si>
  <si>
    <t xml:space="preserve">MCLR Reset during normal operation </t>
  </si>
  <si>
    <t xml:space="preserve">MCLR Reset during Sleep </t>
  </si>
  <si>
    <r>
      <t xml:space="preserve">RESET </t>
    </r>
    <r>
      <rPr>
        <sz val="9"/>
        <color theme="1"/>
        <rFont val="Arial"/>
        <family val="2"/>
      </rPr>
      <t xml:space="preserve">Instruction Executed </t>
    </r>
  </si>
  <si>
    <r>
      <t xml:space="preserve">Stack Overflow Reset (STVREN = </t>
    </r>
    <r>
      <rPr>
        <sz val="9"/>
        <color theme="1"/>
        <rFont val="CourierNew"/>
        <family val="2"/>
      </rPr>
      <t xml:space="preserve">1) </t>
    </r>
  </si>
  <si>
    <r>
      <t xml:space="preserve">Stack Underflow Reset (STVREN = </t>
    </r>
    <r>
      <rPr>
        <sz val="9"/>
        <color theme="1"/>
        <rFont val="CourierNew"/>
        <family val="2"/>
      </rPr>
      <t xml:space="preserve">1) </t>
    </r>
  </si>
  <si>
    <t xml:space="preserve">STKOVF </t>
  </si>
  <si>
    <t xml:space="preserve">STKUNF </t>
  </si>
  <si>
    <t xml:space="preserve">RI </t>
  </si>
  <si>
    <t xml:space="preserve">POR </t>
  </si>
  <si>
    <t xml:space="preserve">BOR </t>
  </si>
  <si>
    <t xml:space="preserve">TO </t>
  </si>
  <si>
    <t xml:space="preserve">PD </t>
  </si>
  <si>
    <t xml:space="preserve">Condition </t>
  </si>
  <si>
    <t xml:space="preserve">RMCLR </t>
    <phoneticPr fontId="1"/>
  </si>
  <si>
    <t>u</t>
    <phoneticPr fontId="1"/>
  </si>
  <si>
    <t>電源投入後に1にする。</t>
    <rPh sb="0" eb="2">
      <t>デンゲントウニュゴ</t>
    </rPh>
    <rPh sb="2" eb="5">
      <t>トウニュウゴ</t>
    </rPh>
    <phoneticPr fontId="1"/>
  </si>
  <si>
    <t>wake up</t>
    <phoneticPr fontId="1"/>
  </si>
  <si>
    <t>short sleep</t>
    <phoneticPr fontId="1"/>
  </si>
  <si>
    <t>dead sleep</t>
    <phoneticPr fontId="1"/>
  </si>
  <si>
    <t>power</t>
    <phoneticPr fontId="1"/>
  </si>
  <si>
    <t>dead sleep</t>
    <phoneticPr fontId="1"/>
  </si>
  <si>
    <t>rewind</t>
    <phoneticPr fontId="1"/>
  </si>
  <si>
    <t>power</t>
    <phoneticPr fontId="1"/>
  </si>
  <si>
    <t>dead sleep</t>
    <phoneticPr fontId="1"/>
  </si>
  <si>
    <t>power</t>
    <phoneticPr fontId="1"/>
  </si>
  <si>
    <t>起動後</t>
    <rPh sb="0" eb="3">
      <t>キドウゴ</t>
    </rPh>
    <phoneticPr fontId="1"/>
  </si>
  <si>
    <t>再開要因</t>
    <rPh sb="0" eb="4">
      <t>サイカイヨウイン</t>
    </rPh>
    <phoneticPr fontId="1"/>
  </si>
  <si>
    <t>再開後</t>
    <rPh sb="0" eb="3">
      <t>サイカイゴ</t>
    </rPh>
    <phoneticPr fontId="1"/>
  </si>
  <si>
    <t>RA1</t>
    <phoneticPr fontId="1"/>
  </si>
  <si>
    <t>RA0</t>
    <phoneticPr fontId="1"/>
  </si>
  <si>
    <t>RC0</t>
    <phoneticPr fontId="1"/>
  </si>
  <si>
    <t>RC1</t>
    <phoneticPr fontId="1"/>
  </si>
  <si>
    <t>break-in</t>
    <phoneticPr fontId="1"/>
  </si>
  <si>
    <t>電源</t>
    <rPh sb="0" eb="2">
      <t>デンゲン</t>
    </rPh>
    <phoneticPr fontId="1"/>
  </si>
  <si>
    <t>2倍速</t>
    <rPh sb="1" eb="3">
      <t>バイソク</t>
    </rPh>
    <phoneticPr fontId="1"/>
  </si>
  <si>
    <t>モーター直結</t>
    <rPh sb="4" eb="6">
      <t>チョッケツ</t>
    </rPh>
    <phoneticPr fontId="1"/>
  </si>
  <si>
    <t>追尾・停止・2倍速で動作中</t>
    <rPh sb="0" eb="2">
      <t>ツイビ</t>
    </rPh>
    <rPh sb="3" eb="5">
      <t>テイシ</t>
    </rPh>
    <rPh sb="7" eb="9">
      <t>バイソク</t>
    </rPh>
    <rPh sb="10" eb="13">
      <t>ドウサチュウ</t>
    </rPh>
    <phoneticPr fontId="1"/>
  </si>
  <si>
    <t>離す</t>
    <rPh sb="0" eb="1">
      <t>ハナ</t>
    </rPh>
    <phoneticPr fontId="1"/>
  </si>
  <si>
    <t>押す</t>
    <rPh sb="0" eb="1">
      <t>オ</t>
    </rPh>
    <phoneticPr fontId="1"/>
  </si>
  <si>
    <t>RA3離したフラグ</t>
    <rPh sb="3" eb="4">
      <t>ハナ</t>
    </rPh>
    <phoneticPr fontId="1"/>
  </si>
  <si>
    <t>RA3 SW</t>
    <phoneticPr fontId="1"/>
  </si>
  <si>
    <t>reset → sleep</t>
    <phoneticPr fontId="1"/>
  </si>
  <si>
    <t>sleep → wake up</t>
    <phoneticPr fontId="1"/>
  </si>
  <si>
    <t>lut_index → 最大</t>
    <rPh sb="12" eb="14">
      <t>サイダイ</t>
    </rPh>
    <phoneticPr fontId="1"/>
  </si>
  <si>
    <t>lut_index → 最小</t>
    <rPh sb="12" eb="13">
      <t>サイダイ</t>
    </rPh>
    <rPh sb="13" eb="14">
      <t>ショウ</t>
    </rPh>
    <phoneticPr fontId="1"/>
  </si>
  <si>
    <t>下図参照</t>
    <rPh sb="0" eb="2">
      <t>カズ</t>
    </rPh>
    <rPh sb="2" eb="4">
      <t>サンショウ</t>
    </rPh>
    <phoneticPr fontId="1"/>
  </si>
  <si>
    <t>Back-EMF検出端子にバイアス印加</t>
    <rPh sb="17" eb="19">
      <t>インカ</t>
    </rPh>
    <phoneticPr fontId="1"/>
  </si>
  <si>
    <t>Back-EMF検出端子を0Vにリセット</t>
    <rPh sb="8" eb="10">
      <t>ケンシュツ</t>
    </rPh>
    <rPh sb="10" eb="12">
      <t>タンシ</t>
    </rPh>
    <phoneticPr fontId="1"/>
  </si>
  <si>
    <t>Back-EMF検出端子のバイアス除去</t>
    <rPh sb="17" eb="19">
      <t>ジョキョ</t>
    </rPh>
    <phoneticPr fontId="1"/>
  </si>
  <si>
    <t>FVR電圧変更(2V→1V)</t>
    <rPh sb="3" eb="5">
      <t>デンアツ</t>
    </rPh>
    <rPh sb="5" eb="7">
      <t>ヘンコウ</t>
    </rPh>
    <phoneticPr fontId="1"/>
  </si>
  <si>
    <t>FVR取得設定(MUX変更)</t>
    <rPh sb="3" eb="5">
      <t>シュトク</t>
    </rPh>
    <rPh sb="5" eb="7">
      <t>セッテイ</t>
    </rPh>
    <rPh sb="11" eb="13">
      <t>ヘンコウ</t>
    </rPh>
    <phoneticPr fontId="1"/>
  </si>
  <si>
    <t>LED電流取得設定(MUX変更)</t>
    <rPh sb="3" eb="5">
      <t>デンリュウ</t>
    </rPh>
    <rPh sb="5" eb="7">
      <t>シュトク</t>
    </rPh>
    <rPh sb="7" eb="9">
      <t>セッテイ</t>
    </rPh>
    <rPh sb="13" eb="15">
      <t>ヘンコウ</t>
    </rPh>
    <phoneticPr fontId="1"/>
  </si>
  <si>
    <t>LED・FVR取得設定(Vref変更)</t>
    <rPh sb="7" eb="9">
      <t>シュトク</t>
    </rPh>
    <rPh sb="9" eb="11">
      <t>セッテイ</t>
    </rPh>
    <rPh sb="16" eb="18">
      <t>ヘンコウ</t>
    </rPh>
    <phoneticPr fontId="1"/>
  </si>
  <si>
    <t>FVR電圧変更(1V→2V)</t>
    <rPh sb="3" eb="5">
      <t>デンアツ</t>
    </rPh>
    <rPh sb="5" eb="7">
      <t>ヘンコウ</t>
    </rPh>
    <phoneticPr fontId="1"/>
  </si>
  <si>
    <t>閉ループ制御</t>
    <rPh sb="0" eb="1">
      <t>ト</t>
    </rPh>
    <rPh sb="4" eb="6">
      <t>セイギョ</t>
    </rPh>
    <phoneticPr fontId="1"/>
  </si>
  <si>
    <t>取得設定(Vref変更)</t>
    <rPh sb="0" eb="2">
      <t>シュトク</t>
    </rPh>
    <rPh sb="2" eb="4">
      <t>セッテイ</t>
    </rPh>
    <rPh sb="9" eb="11">
      <t>ヘンコウ</t>
    </rPh>
    <phoneticPr fontId="1"/>
  </si>
  <si>
    <t>開ループ制御</t>
    <rPh sb="0" eb="1">
      <t>ヒラ</t>
    </rPh>
    <rPh sb="4" eb="6">
      <t>セイギョ</t>
    </rPh>
    <phoneticPr fontId="1"/>
  </si>
  <si>
    <t>前回値</t>
    <rPh sb="0" eb="3">
      <t>ゼンカイチ</t>
    </rPh>
    <phoneticPr fontId="1"/>
  </si>
  <si>
    <t>更新値</t>
    <rPh sb="0" eb="3">
      <t>コウシンチ</t>
    </rPh>
    <phoneticPr fontId="1"/>
  </si>
  <si>
    <t>1p10</t>
    <phoneticPr fontId="1"/>
  </si>
  <si>
    <t>2p10</t>
    <phoneticPr fontId="1"/>
  </si>
  <si>
    <t>6p10</t>
    <phoneticPr fontId="1"/>
  </si>
  <si>
    <t>6p10</t>
    <phoneticPr fontId="1"/>
  </si>
  <si>
    <t>6p10</t>
    <phoneticPr fontId="1"/>
  </si>
  <si>
    <t>12p20</t>
    <phoneticPr fontId="1"/>
  </si>
  <si>
    <t>右詰め</t>
    <rPh sb="0" eb="2">
      <t>ミギツ</t>
    </rPh>
    <phoneticPr fontId="1"/>
  </si>
  <si>
    <t>左詰め</t>
    <rPh sb="0" eb="2">
      <t>ヒダリツ</t>
    </rPh>
    <phoneticPr fontId="1"/>
  </si>
  <si>
    <t>1p15</t>
    <phoneticPr fontId="1"/>
  </si>
  <si>
    <t>7p25</t>
    <phoneticPr fontId="1"/>
  </si>
  <si>
    <t>2p14</t>
    <phoneticPr fontId="1"/>
  </si>
  <si>
    <t>12p0÷10p0</t>
    <phoneticPr fontId="1"/>
  </si>
  <si>
    <t>4p20</t>
    <phoneticPr fontId="1"/>
  </si>
  <si>
    <t>RE-140RA-2270</t>
    <phoneticPr fontId="1"/>
  </si>
  <si>
    <t>FA-130RA-2270</t>
    <phoneticPr fontId="1"/>
  </si>
  <si>
    <t>RE-260RA-2670</t>
    <phoneticPr fontId="1"/>
  </si>
  <si>
    <t>RE-280RA-2865</t>
    <phoneticPr fontId="1"/>
  </si>
  <si>
    <t>RE-280RA-20120</t>
    <phoneticPr fontId="1"/>
  </si>
  <si>
    <t>FP030-KN/13125</t>
    <phoneticPr fontId="1"/>
  </si>
  <si>
    <t>FP030-KN/11160</t>
    <phoneticPr fontId="1"/>
  </si>
  <si>
    <t>FF-030PK-11160</t>
    <phoneticPr fontId="1"/>
  </si>
  <si>
    <t>mini-motor</t>
    <phoneticPr fontId="1"/>
  </si>
  <si>
    <t>item 75026</t>
    <phoneticPr fontId="1"/>
  </si>
  <si>
    <t>ギヤボックス付属</t>
    <rPh sb="6" eb="8">
      <t>フゾク</t>
    </rPh>
    <phoneticPr fontId="1"/>
  </si>
  <si>
    <t>LED</t>
    <phoneticPr fontId="1"/>
  </si>
  <si>
    <t>電源</t>
    <rPh sb="0" eb="2">
      <t>デンゲン</t>
    </rPh>
    <phoneticPr fontId="1"/>
  </si>
  <si>
    <t>電流</t>
    <rPh sb="0" eb="2">
      <t>デンリュウ</t>
    </rPh>
    <phoneticPr fontId="1"/>
  </si>
  <si>
    <t>FVR</t>
    <phoneticPr fontId="1"/>
  </si>
  <si>
    <t>PR6</t>
    <phoneticPr fontId="1"/>
  </si>
  <si>
    <t>CCPR3</t>
    <phoneticPr fontId="1"/>
  </si>
  <si>
    <t>平均電流</t>
    <rPh sb="0" eb="2">
      <t>ヘイキン</t>
    </rPh>
    <rPh sb="2" eb="4">
      <t>デンリュウ</t>
    </rPh>
    <phoneticPr fontId="1"/>
  </si>
  <si>
    <t>PR6=X-FVRのX</t>
    <phoneticPr fontId="1"/>
  </si>
  <si>
    <t>CCPR3=(FVR-Y)/4のY</t>
    <phoneticPr fontId="1"/>
  </si>
  <si>
    <t>mini</t>
  </si>
  <si>
    <t>Q1.47</t>
  </si>
  <si>
    <t>FA-130</t>
  </si>
  <si>
    <t>Q1.76</t>
  </si>
  <si>
    <t>RE-260</t>
  </si>
  <si>
    <t>Q1.41</t>
  </si>
  <si>
    <t>RC-260</t>
  </si>
  <si>
    <t>Q1.38</t>
  </si>
  <si>
    <t>Torque</t>
  </si>
  <si>
    <t>Q2.28</t>
  </si>
  <si>
    <t>Power</t>
  </si>
  <si>
    <t>Q1.60</t>
  </si>
  <si>
    <t>Q2.35</t>
  </si>
  <si>
    <t>Q2.46</t>
  </si>
  <si>
    <t>抵抗[Ω]</t>
    <rPh sb="0" eb="2">
      <t>テイコウ</t>
    </rPh>
    <phoneticPr fontId="1"/>
  </si>
  <si>
    <t>RE-280-20120</t>
    <phoneticPr fontId="1"/>
  </si>
  <si>
    <t>インダクタンス[μH]</t>
    <phoneticPr fontId="1"/>
  </si>
  <si>
    <t>T=</t>
    <phoneticPr fontId="1"/>
  </si>
  <si>
    <t>RE-280-2865</t>
    <phoneticPr fontId="1"/>
  </si>
  <si>
    <t>LED電圧/VDD*1023</t>
    <rPh sb="3" eb="5">
      <t>デンアツ</t>
    </rPh>
    <phoneticPr fontId="1"/>
  </si>
  <si>
    <t>PWM period</t>
    <phoneticPr fontId="1"/>
  </si>
  <si>
    <t>PWM Freq</t>
    <phoneticPr fontId="1"/>
  </si>
  <si>
    <t>Tcy</t>
    <phoneticPr fontId="1"/>
  </si>
  <si>
    <t>Fixed P gain</t>
    <phoneticPr fontId="1"/>
  </si>
  <si>
    <t>Effective P gain</t>
    <phoneticPr fontId="1"/>
  </si>
  <si>
    <t>LPFリセット</t>
    <phoneticPr fontId="1"/>
  </si>
  <si>
    <t>Weak Pull-up</t>
    <phoneticPr fontId="1"/>
  </si>
  <si>
    <t>MUX</t>
    <phoneticPr fontId="1"/>
  </si>
  <si>
    <t>状態</t>
    <rPh sb="0" eb="2">
      <t>ジョウタイ</t>
    </rPh>
    <phoneticPr fontId="1"/>
  </si>
  <si>
    <t>開始</t>
    <rPh sb="0" eb="2">
      <t>カイシ</t>
    </rPh>
    <phoneticPr fontId="1"/>
  </si>
  <si>
    <t>FVR</t>
    <phoneticPr fontId="1"/>
  </si>
  <si>
    <t>FVR取得</t>
    <rPh sb="3" eb="5">
      <t>シュトク</t>
    </rPh>
    <phoneticPr fontId="1"/>
  </si>
  <si>
    <t>更新指示</t>
    <rPh sb="0" eb="2">
      <t>コウシン</t>
    </rPh>
    <rPh sb="2" eb="4">
      <t>ドウサシジ</t>
    </rPh>
    <phoneticPr fontId="1"/>
  </si>
  <si>
    <t>load</t>
    <phoneticPr fontId="1"/>
  </si>
  <si>
    <t>save</t>
    <phoneticPr fontId="1"/>
  </si>
  <si>
    <t>AD変換周期(設計値)</t>
    <rPh sb="2" eb="4">
      <t>ヘンカン</t>
    </rPh>
    <rPh sb="4" eb="6">
      <t>サイタンシュウキ</t>
    </rPh>
    <rPh sb="7" eb="10">
      <t>セッケイチ</t>
    </rPh>
    <phoneticPr fontId="1"/>
  </si>
  <si>
    <t>目標電圧・周期取得</t>
    <rPh sb="0" eb="4">
      <t>モクヒョウデンアツ</t>
    </rPh>
    <rPh sb="5" eb="7">
      <t>syuuki</t>
    </rPh>
    <rPh sb="7" eb="9">
      <t>シュトク</t>
    </rPh>
    <phoneticPr fontId="1"/>
  </si>
  <si>
    <t>FVR電圧取得</t>
    <rPh sb="3" eb="5">
      <t>デンアツ</t>
    </rPh>
    <rPh sb="5" eb="7">
      <t>シュトク</t>
    </rPh>
    <phoneticPr fontId="1"/>
  </si>
  <si>
    <t>モーター制御準備時間</t>
    <rPh sb="4" eb="6">
      <t>セイギョマエ</t>
    </rPh>
    <rPh sb="6" eb="10">
      <t>ジュンビジカン</t>
    </rPh>
    <phoneticPr fontId="1"/>
  </si>
  <si>
    <t>目標電圧比計算</t>
    <rPh sb="0" eb="2">
      <t>モクヒョウ</t>
    </rPh>
    <rPh sb="2" eb="5">
      <t>デンアツヒ</t>
    </rPh>
    <rPh sb="5" eb="7">
      <t>ケイサン</t>
    </rPh>
    <phoneticPr fontId="1"/>
  </si>
  <si>
    <t>制限電圧比計算</t>
    <rPh sb="0" eb="2">
      <t>セイゲン</t>
    </rPh>
    <rPh sb="2" eb="4">
      <t>デンアツ</t>
    </rPh>
    <rPh sb="4" eb="5">
      <t>ヒ</t>
    </rPh>
    <rPh sb="5" eb="7">
      <t>ケイサン</t>
    </rPh>
    <phoneticPr fontId="1"/>
  </si>
  <si>
    <t>FVR電圧変換開始</t>
    <rPh sb="3" eb="5">
      <t>デンアツ</t>
    </rPh>
    <rPh sb="5" eb="9">
      <t>ヘンカンカイシ</t>
    </rPh>
    <phoneticPr fontId="1"/>
  </si>
  <si>
    <t>FVR電圧変換完了</t>
    <rPh sb="3" eb="5">
      <t>デンアツ</t>
    </rPh>
    <rPh sb="5" eb="7">
      <t>ヘンカン</t>
    </rPh>
    <rPh sb="7" eb="9">
      <t>カンリョウ</t>
    </rPh>
    <phoneticPr fontId="1"/>
  </si>
  <si>
    <t>変換開始(データは捨てる)</t>
    <rPh sb="0" eb="4">
      <t>ヘンカンカイシ</t>
    </rPh>
    <rPh sb="9" eb="10">
      <t>ス</t>
    </rPh>
    <phoneticPr fontId="1"/>
  </si>
  <si>
    <t>変換完了(データは捨てる)</t>
    <rPh sb="0" eb="2">
      <t>ヘンカンカイシ</t>
    </rPh>
    <rPh sb="2" eb="4">
      <t>カンリョウ</t>
    </rPh>
    <rPh sb="9" eb="10">
      <t>ス</t>
    </rPh>
    <phoneticPr fontId="1"/>
  </si>
  <si>
    <t>制限電圧計算</t>
    <rPh sb="0" eb="2">
      <t>セイゲン</t>
    </rPh>
    <rPh sb="2" eb="4">
      <t>デンアツ</t>
    </rPh>
    <rPh sb="4" eb="6">
      <t>ケイサン</t>
    </rPh>
    <phoneticPr fontId="1"/>
  </si>
  <si>
    <t>制御開始時刻設定</t>
    <rPh sb="0" eb="2">
      <t>セイギョ</t>
    </rPh>
    <rPh sb="2" eb="6">
      <t>カイシジコク</t>
    </rPh>
    <rPh sb="6" eb="8">
      <t>セッテイ</t>
    </rPh>
    <phoneticPr fontId="1"/>
  </si>
  <si>
    <t>モーター電圧変換開始</t>
    <rPh sb="4" eb="6">
      <t>デンアツ</t>
    </rPh>
    <rPh sb="6" eb="8">
      <t>ヘンカン</t>
    </rPh>
    <rPh sb="8" eb="10">
      <t>カイシ</t>
    </rPh>
    <phoneticPr fontId="1"/>
  </si>
  <si>
    <t>モーター電圧変換完了</t>
    <rPh sb="4" eb="6">
      <t>デンアツ</t>
    </rPh>
    <rPh sb="6" eb="8">
      <t>ヘンカン</t>
    </rPh>
    <rPh sb="8" eb="10">
      <t>カンリョウ</t>
    </rPh>
    <phoneticPr fontId="1"/>
  </si>
  <si>
    <t>変換開始に同期</t>
    <rPh sb="0" eb="4">
      <t>ヘンカンカイシ</t>
    </rPh>
    <rPh sb="5" eb="7">
      <t>ドウキ</t>
    </rPh>
    <phoneticPr fontId="1"/>
  </si>
  <si>
    <t>変換完了に同期</t>
    <rPh sb="0" eb="4">
      <t>ヘンカンカンリョウ</t>
    </rPh>
    <rPh sb="5" eb="7">
      <t>ドウキ</t>
    </rPh>
    <phoneticPr fontId="1"/>
  </si>
  <si>
    <t>PWM動作再開時刻計算</t>
    <rPh sb="3" eb="7">
      <t>ドウササイカイ</t>
    </rPh>
    <rPh sb="7" eb="9">
      <t>ジコク</t>
    </rPh>
    <rPh sb="9" eb="11">
      <t>ケイサン</t>
    </rPh>
    <phoneticPr fontId="1"/>
  </si>
  <si>
    <t>Back-EMF変換開始2</t>
    <rPh sb="8" eb="12">
      <t>ヘンカンカイシ</t>
    </rPh>
    <phoneticPr fontId="1"/>
  </si>
  <si>
    <t>Back-EMF変換開始1</t>
    <rPh sb="8" eb="10">
      <t>ヘンカン</t>
    </rPh>
    <rPh sb="10" eb="12">
      <t>カイシ</t>
    </rPh>
    <phoneticPr fontId="1"/>
  </si>
  <si>
    <t>Back-EMF変換開始3</t>
    <rPh sb="8" eb="12">
      <t>ヘンカンカイシ</t>
    </rPh>
    <phoneticPr fontId="1"/>
  </si>
  <si>
    <t>FVR変換開始時間設定</t>
    <rPh sb="3" eb="5">
      <t>ヘンカン</t>
    </rPh>
    <rPh sb="5" eb="7">
      <t>カイシ</t>
    </rPh>
    <rPh sb="7" eb="9">
      <t>シュトクジカン</t>
    </rPh>
    <rPh sb="9" eb="11">
      <t>セッテイ</t>
    </rPh>
    <phoneticPr fontId="1"/>
  </si>
  <si>
    <t>back-EMF電圧の制限値を計算</t>
    <rPh sb="8" eb="10">
      <t>デンアツ</t>
    </rPh>
    <rPh sb="11" eb="13">
      <t>セイゲン</t>
    </rPh>
    <rPh sb="13" eb="14">
      <t>チ</t>
    </rPh>
    <rPh sb="15" eb="17">
      <t>ケイサン</t>
    </rPh>
    <phoneticPr fontId="1"/>
  </si>
  <si>
    <t>バイアス印加</t>
    <phoneticPr fontId="1"/>
  </si>
  <si>
    <t>Back-EMF検出開始</t>
    <rPh sb="8" eb="10">
      <t>ケンシュツ</t>
    </rPh>
    <rPh sb="10" eb="12">
      <t>カイシ</t>
    </rPh>
    <phoneticPr fontId="1"/>
  </si>
  <si>
    <t>HB解放から</t>
    <rPh sb="2" eb="4">
      <t>カイホウ</t>
    </rPh>
    <phoneticPr fontId="1"/>
  </si>
  <si>
    <t>Back-EMF静定</t>
    <rPh sb="8" eb="10">
      <t>seitei</t>
    </rPh>
    <phoneticPr fontId="1"/>
  </si>
  <si>
    <t>モーター電圧変換開始</t>
    <rPh sb="4" eb="6">
      <t>デンアツ</t>
    </rPh>
    <rPh sb="6" eb="8">
      <t>ヘンカン</t>
    </rPh>
    <rPh sb="8" eb="10">
      <t>カイシ</t>
    </rPh>
    <phoneticPr fontId="1"/>
  </si>
  <si>
    <t>自己誘導/Back-EMF判定</t>
    <rPh sb="0" eb="4">
      <t>ジコユウドウ</t>
    </rPh>
    <rPh sb="13" eb="15">
      <t>ハンテイ</t>
    </rPh>
    <phoneticPr fontId="1"/>
  </si>
  <si>
    <t>積分作業用領域初期化</t>
    <rPh sb="0" eb="2">
      <t>セキブン</t>
    </rPh>
    <rPh sb="2" eb="5">
      <t>サギョウヨウ</t>
    </rPh>
    <rPh sb="5" eb="7">
      <t>リョウイキ</t>
    </rPh>
    <rPh sb="7" eb="10">
      <t>ショキカ</t>
    </rPh>
    <phoneticPr fontId="1"/>
  </si>
  <si>
    <t>2倍速時、積分上限値を2倍</t>
    <rPh sb="1" eb="4">
      <t>バイソクジ</t>
    </rPh>
    <rPh sb="5" eb="7">
      <t>セキブン</t>
    </rPh>
    <rPh sb="7" eb="10">
      <t>ジョウゲンチ</t>
    </rPh>
    <rPh sb="12" eb="13">
      <t>バイ</t>
    </rPh>
    <phoneticPr fontId="1"/>
  </si>
  <si>
    <t>PR6=(1023-LED/VDD*1023)+XのX</t>
    <phoneticPr fontId="1"/>
  </si>
  <si>
    <t>CCPR3=(1V/VDD*1023-Y)/16のY</t>
    <phoneticPr fontId="1"/>
  </si>
  <si>
    <t>抵抗</t>
    <rPh sb="0" eb="2">
      <t>テイコウ</t>
    </rPh>
    <phoneticPr fontId="1"/>
  </si>
  <si>
    <t>RE-260RA-2295</t>
    <phoneticPr fontId="1"/>
  </si>
  <si>
    <t>RE-260RA-18130</t>
    <phoneticPr fontId="1"/>
  </si>
  <si>
    <t>FA-130RA-18100</t>
    <phoneticPr fontId="1"/>
  </si>
  <si>
    <t>FF-030PK-09210</t>
    <phoneticPr fontId="1"/>
  </si>
  <si>
    <t>RE-140RA-18100</t>
    <phoneticPr fontId="1"/>
  </si>
  <si>
    <t>RE-140RA-12240</t>
    <phoneticPr fontId="1"/>
  </si>
  <si>
    <t>RE-280RA-2485</t>
    <phoneticPr fontId="1"/>
  </si>
  <si>
    <t>RE-280SA-2865</t>
    <phoneticPr fontId="1"/>
  </si>
  <si>
    <t>RE-280SA-20120</t>
    <phoneticPr fontId="1"/>
  </si>
  <si>
    <t>RE-280SA-2485</t>
    <phoneticPr fontId="1"/>
  </si>
  <si>
    <t>RE-280SA-2295</t>
    <phoneticPr fontId="1"/>
  </si>
  <si>
    <t>無負荷</t>
    <rPh sb="0" eb="3">
      <t>ムフカ</t>
    </rPh>
    <phoneticPr fontId="1"/>
  </si>
  <si>
    <t>最大効率</t>
    <rPh sb="0" eb="4">
      <t>サイダイコウリツ</t>
    </rPh>
    <phoneticPr fontId="1"/>
  </si>
  <si>
    <t>拘束</t>
    <rPh sb="0" eb="2">
      <t>kousoku</t>
    </rPh>
    <phoneticPr fontId="1"/>
  </si>
  <si>
    <t>電流</t>
    <rPh sb="0" eb="2">
      <t>デンリュウ</t>
    </rPh>
    <phoneticPr fontId="1"/>
  </si>
  <si>
    <t>回転数</t>
    <rPh sb="0" eb="3">
      <t>カイテンスウ</t>
    </rPh>
    <phoneticPr fontId="1"/>
  </si>
  <si>
    <t>IR</t>
    <phoneticPr fontId="1"/>
  </si>
  <si>
    <t>実効電圧</t>
    <rPh sb="0" eb="2">
      <t>jikkou</t>
    </rPh>
    <rPh sb="2" eb="4">
      <t>デンアツ</t>
    </rPh>
    <phoneticPr fontId="1"/>
  </si>
  <si>
    <t>[rpm/V]</t>
    <phoneticPr fontId="1"/>
  </si>
  <si>
    <t>電圧</t>
    <rPh sb="0" eb="2">
      <t>デンアツ</t>
    </rPh>
    <phoneticPr fontId="1"/>
  </si>
  <si>
    <t>RC-260RA-18130</t>
    <phoneticPr fontId="1"/>
  </si>
  <si>
    <t>RC-260RA-2670</t>
    <phoneticPr fontId="1"/>
  </si>
  <si>
    <t>RC-260SA-2670</t>
    <phoneticPr fontId="1"/>
  </si>
  <si>
    <t>RC-260SA-2295</t>
    <phoneticPr fontId="1"/>
  </si>
  <si>
    <t>RC-260RA-18130</t>
    <phoneticPr fontId="1"/>
  </si>
  <si>
    <t>RC-260RA-08450</t>
    <phoneticPr fontId="1"/>
  </si>
  <si>
    <t>RC-280RA-2865</t>
    <phoneticPr fontId="1"/>
  </si>
  <si>
    <t>RC-280RA-20120</t>
    <phoneticPr fontId="1"/>
  </si>
  <si>
    <t>RC-280RA-2485</t>
    <phoneticPr fontId="1"/>
  </si>
  <si>
    <t>RC-280SA-2865</t>
    <phoneticPr fontId="1"/>
  </si>
  <si>
    <t>RC-280SA-20120</t>
    <phoneticPr fontId="1"/>
  </si>
  <si>
    <t>RC-280SA-2485</t>
    <phoneticPr fontId="1"/>
  </si>
  <si>
    <t>TG-05D</t>
    <phoneticPr fontId="1"/>
  </si>
  <si>
    <t>FA-130RA</t>
    <phoneticPr fontId="1"/>
  </si>
  <si>
    <t>RE-140RA</t>
    <phoneticPr fontId="1"/>
  </si>
  <si>
    <t>RE-260RA</t>
    <phoneticPr fontId="1"/>
  </si>
  <si>
    <t>RE-280RA</t>
    <phoneticPr fontId="1"/>
  </si>
  <si>
    <t>TG-05D</t>
    <phoneticPr fontId="1"/>
  </si>
  <si>
    <t>ウォームギヤボックス</t>
    <phoneticPr fontId="1"/>
  </si>
  <si>
    <t>6速ギヤボックス</t>
    <rPh sb="1" eb="2">
      <t>ソク</t>
    </rPh>
    <phoneticPr fontId="1"/>
  </si>
  <si>
    <t>遊星ギヤボックス？</t>
  </si>
  <si>
    <t>MFA RE-140</t>
    <phoneticPr fontId="1"/>
  </si>
  <si>
    <t>MFA RE-280</t>
    <phoneticPr fontId="1"/>
  </si>
  <si>
    <t>MFA RE-280/1</t>
    <phoneticPr fontId="1"/>
  </si>
  <si>
    <t>RDO-501</t>
    <phoneticPr fontId="1"/>
  </si>
  <si>
    <t>250:1 Metal Gearmotor 20Dx46L mm 6V CB</t>
  </si>
  <si>
    <t>420uH</t>
    <phoneticPr fontId="1"/>
  </si>
  <si>
    <t>340uH</t>
    <phoneticPr fontId="1"/>
  </si>
  <si>
    <t>P-MOS</t>
    <phoneticPr fontId="1"/>
  </si>
  <si>
    <t>N-MOS</t>
    <phoneticPr fontId="1"/>
  </si>
  <si>
    <t>(P-MOS)</t>
    <phoneticPr fontId="1"/>
  </si>
  <si>
    <t>PR2 match</t>
    <phoneticPr fontId="1"/>
  </si>
  <si>
    <t>SHUTDOWN</t>
    <phoneticPr fontId="1"/>
  </si>
  <si>
    <t>~(PWM&amp;CP2)</t>
    <phoneticPr fontId="1"/>
  </si>
  <si>
    <t>P-MOS OFF期間にL放電開始</t>
    <rPh sb="9" eb="11">
      <t>キカン</t>
    </rPh>
    <rPh sb="13" eb="15">
      <t>ホウデン</t>
    </rPh>
    <rPh sb="15" eb="17">
      <t>カイシ</t>
    </rPh>
    <phoneticPr fontId="1"/>
  </si>
  <si>
    <t>P-MOS ON期間にL放電開始</t>
    <rPh sb="8" eb="10">
      <t>キカン</t>
    </rPh>
    <rPh sb="12" eb="14">
      <t>ホウデン</t>
    </rPh>
    <rPh sb="14" eb="16">
      <t>カイシ</t>
    </rPh>
    <phoneticPr fontId="1"/>
  </si>
  <si>
    <t>P-MOS Dead TimeにL放電開始</t>
    <rPh sb="17" eb="19">
      <t>ホウデン</t>
    </rPh>
    <rPh sb="19" eb="21">
      <t>カイシ</t>
    </rPh>
    <phoneticPr fontId="1"/>
  </si>
  <si>
    <t>PWM周期の最後にL放電開始</t>
    <rPh sb="3" eb="5">
      <t>シュウキ</t>
    </rPh>
    <rPh sb="6" eb="8">
      <t>サイゴ</t>
    </rPh>
    <rPh sb="10" eb="12">
      <t>ホウデン</t>
    </rPh>
    <rPh sb="12" eb="14">
      <t>カイシ</t>
    </rPh>
    <phoneticPr fontId="1"/>
  </si>
  <si>
    <t>C1</t>
    <phoneticPr fontId="1"/>
  </si>
  <si>
    <t>DSMOUT-SS</t>
    <phoneticPr fontId="1"/>
  </si>
  <si>
    <t>(PWM&amp;C1)</t>
    <phoneticPr fontId="1"/>
  </si>
  <si>
    <t>by CWG2</t>
    <phoneticPr fontId="1"/>
  </si>
  <si>
    <t>by MSSP</t>
    <phoneticPr fontId="1"/>
  </si>
  <si>
    <t>L放電開始</t>
    <phoneticPr fontId="1"/>
  </si>
  <si>
    <t>L放電終わり</t>
    <phoneticPr fontId="1"/>
  </si>
  <si>
    <t>駆動開始</t>
    <phoneticPr fontId="1"/>
  </si>
  <si>
    <t>Rg</t>
    <phoneticPr fontId="1"/>
  </si>
  <si>
    <t>Qrr</t>
    <phoneticPr fontId="1"/>
  </si>
  <si>
    <t>trr</t>
    <phoneticPr fontId="1"/>
  </si>
  <si>
    <t>trr</t>
    <phoneticPr fontId="1"/>
  </si>
  <si>
    <t>TT8M1</t>
    <phoneticPr fontId="1"/>
  </si>
  <si>
    <t>TT8M3</t>
    <phoneticPr fontId="1"/>
  </si>
  <si>
    <t>PMCPB5530X</t>
    <phoneticPr fontId="1"/>
  </si>
  <si>
    <t>NTHD3102C</t>
    <phoneticPr fontId="1"/>
  </si>
  <si>
    <t>小さい？</t>
    <rPh sb="0" eb="1">
      <t>チイ</t>
    </rPh>
    <phoneticPr fontId="1"/>
  </si>
  <si>
    <t>toff</t>
    <phoneticPr fontId="1"/>
  </si>
  <si>
    <t>tf</t>
    <phoneticPr fontId="1"/>
  </si>
  <si>
    <t>ton</t>
    <phoneticPr fontId="1"/>
  </si>
  <si>
    <t>tr</t>
    <phoneticPr fontId="1"/>
  </si>
  <si>
    <t>進角</t>
    <rPh sb="0" eb="1">
      <t>スス</t>
    </rPh>
    <rPh sb="1" eb="2">
      <t>カクド</t>
    </rPh>
    <phoneticPr fontId="1"/>
  </si>
  <si>
    <t>leading</t>
    <phoneticPr fontId="1"/>
  </si>
  <si>
    <t>trailing</t>
    <phoneticPr fontId="1"/>
  </si>
  <si>
    <t>sin</t>
    <phoneticPr fontId="1"/>
  </si>
  <si>
    <t>cos</t>
    <phoneticPr fontId="1"/>
  </si>
  <si>
    <t>sin</t>
    <phoneticPr fontId="1"/>
  </si>
  <si>
    <t>cos</t>
    <phoneticPr fontId="1"/>
  </si>
  <si>
    <t>average</t>
    <phoneticPr fontId="1"/>
  </si>
  <si>
    <t>center</t>
    <phoneticPr fontId="1"/>
  </si>
  <si>
    <t>median</t>
    <phoneticPr fontId="1"/>
  </si>
  <si>
    <t>center/average</t>
    <phoneticPr fontId="1"/>
  </si>
  <si>
    <t>median/average</t>
    <phoneticPr fontId="1"/>
  </si>
  <si>
    <t>角度</t>
    <rPh sb="0" eb="2">
      <t>カクド</t>
    </rPh>
    <phoneticPr fontId="1"/>
  </si>
  <si>
    <t>sin</t>
    <phoneticPr fontId="1"/>
  </si>
  <si>
    <t>cos</t>
    <phoneticPr fontId="1"/>
  </si>
  <si>
    <t>32768 x sin</t>
    <phoneticPr fontId="1"/>
  </si>
  <si>
    <t>32768 x cos</t>
    <phoneticPr fontId="1"/>
  </si>
  <si>
    <t>(1+cos(lead))/2</t>
    <phoneticPr fontId="1"/>
  </si>
  <si>
    <t>実測</t>
    <rPh sb="0" eb="2">
      <t>ジッソク</t>
    </rPh>
    <phoneticPr fontId="1"/>
  </si>
  <si>
    <t>マブチ純正</t>
    <rPh sb="3" eb="5">
      <t>ジュンセイ</t>
    </rPh>
    <phoneticPr fontId="1"/>
  </si>
  <si>
    <t>ホムセンの互換品</t>
    <rPh sb="5" eb="8">
      <t>ゴカンヒン</t>
    </rPh>
    <phoneticPr fontId="1"/>
  </si>
  <si>
    <t>ジャンク屋のRC-260</t>
    <rPh sb="4" eb="5">
      <t>ヤ</t>
    </rPh>
    <phoneticPr fontId="1"/>
  </si>
  <si>
    <t>RE-260RA-2670</t>
    <phoneticPr fontId="1"/>
  </si>
  <si>
    <t>駆動する時とBack EMFを測る時では電圧波形が違うのでmotor speed定数は一致しない。駆動する時はCF=1.0(ピーク電圧＝平均電圧)として考えると、だいたい数値が近くなる。</t>
    <rPh sb="0" eb="2">
      <t>クドウ</t>
    </rPh>
    <rPh sb="4" eb="5">
      <t>トキ</t>
    </rPh>
    <rPh sb="15" eb="16">
      <t>ハカ</t>
    </rPh>
    <rPh sb="17" eb="18">
      <t>トキ</t>
    </rPh>
    <rPh sb="20" eb="24">
      <t>デンアツハケイ</t>
    </rPh>
    <rPh sb="25" eb="26">
      <t>チガ</t>
    </rPh>
    <rPh sb="40" eb="42">
      <t>テイスウ</t>
    </rPh>
    <rPh sb="43" eb="45">
      <t>イッチ</t>
    </rPh>
    <rPh sb="49" eb="51">
      <t>クドウ</t>
    </rPh>
    <rPh sb="53" eb="54">
      <t>トキ</t>
    </rPh>
    <rPh sb="65" eb="67">
      <t>デンアツ</t>
    </rPh>
    <rPh sb="68" eb="70">
      <t>ヘイキン</t>
    </rPh>
    <rPh sb="70" eb="72">
      <t>デンアツヲ</t>
    </rPh>
    <rPh sb="76" eb="77">
      <t>カンガ</t>
    </rPh>
    <rPh sb="85" eb="87">
      <t>スウチチガ</t>
    </rPh>
    <rPh sb="88" eb="89">
      <t>チカ</t>
    </rPh>
    <phoneticPr fontId="1"/>
  </si>
  <si>
    <t>×0.933</t>
    <phoneticPr fontId="1"/>
  </si>
  <si>
    <t>sin2x</t>
    <phoneticPr fontId="1"/>
  </si>
  <si>
    <t>sin2x</t>
    <phoneticPr fontId="1"/>
  </si>
  <si>
    <t>rms</t>
    <phoneticPr fontId="1"/>
  </si>
  <si>
    <t>Back-EMF定数</t>
    <rPh sb="8" eb="10">
      <t>テイスウ</t>
    </rPh>
    <phoneticPr fontId="1"/>
  </si>
  <si>
    <t>ADC</t>
    <phoneticPr fontId="1"/>
  </si>
  <si>
    <t>Timer</t>
    <phoneticPr fontId="1"/>
  </si>
  <si>
    <t>wave</t>
    <phoneticPr fontId="1"/>
  </si>
  <si>
    <t>V/rpm</t>
    <phoneticPr fontId="1"/>
  </si>
  <si>
    <t>sec/min</t>
    <phoneticPr fontId="1"/>
  </si>
  <si>
    <t>wave/rotation</t>
    <phoneticPr fontId="1"/>
  </si>
  <si>
    <t>tick/sec</t>
    <phoneticPr fontId="1"/>
  </si>
  <si>
    <t>Speed定数</t>
    <rPh sb="5" eb="7">
      <t>テイスウ</t>
    </rPh>
    <phoneticPr fontId="1"/>
  </si>
  <si>
    <t>LSB*tick/wave</t>
    <phoneticPr fontId="1"/>
  </si>
  <si>
    <t>24bit</t>
    <phoneticPr fontId="1"/>
  </si>
  <si>
    <t>mV/LSB</t>
    <phoneticPr fontId="1"/>
  </si>
  <si>
    <t>mV*sec/wave</t>
    <phoneticPr fontId="1"/>
  </si>
  <si>
    <t>tick/sec</t>
    <phoneticPr fontId="1"/>
  </si>
  <si>
    <t>mV/V</t>
    <phoneticPr fontId="1"/>
  </si>
  <si>
    <t>mV/rpm</t>
    <phoneticPr fontId="1"/>
  </si>
  <si>
    <t>mV*min/rotation</t>
    <phoneticPr fontId="1"/>
  </si>
  <si>
    <t>mV*sec/rotation</t>
    <phoneticPr fontId="1"/>
  </si>
  <si>
    <t>rpm/V</t>
    <phoneticPr fontId="1"/>
  </si>
  <si>
    <t>LSB*sec/wave</t>
    <phoneticPr fontId="1"/>
  </si>
  <si>
    <t>LSB*tick/wave</t>
    <phoneticPr fontId="1"/>
  </si>
  <si>
    <t>mV*sec/wave</t>
    <phoneticPr fontId="1"/>
  </si>
  <si>
    <t>DMC2053UVT</t>
    <phoneticPr fontId="1"/>
  </si>
  <si>
    <t>DMC2057UVT</t>
    <phoneticPr fontId="1"/>
  </si>
  <si>
    <t>Ciss比</t>
    <rPh sb="4" eb="5">
      <t>ヒ</t>
    </rPh>
    <phoneticPr fontId="1"/>
  </si>
  <si>
    <t>Qg比</t>
    <rPh sb="2" eb="3">
      <t>ヒ</t>
    </rPh>
    <phoneticPr fontId="1"/>
  </si>
  <si>
    <t>FCYそのまま</t>
    <phoneticPr fontId="1"/>
  </si>
  <si>
    <t>時計用水晶を分周し補完</t>
    <rPh sb="0" eb="3">
      <t>トケイヨウ</t>
    </rPh>
    <rPh sb="3" eb="5">
      <t>スイショウ</t>
    </rPh>
    <rPh sb="6" eb="8">
      <t>ブンシュウ</t>
    </rPh>
    <rPh sb="9" eb="11">
      <t>ホカン</t>
    </rPh>
    <phoneticPr fontId="1"/>
  </si>
  <si>
    <t>FCY</t>
    <phoneticPr fontId="1"/>
  </si>
  <si>
    <t>分周比</t>
    <rPh sb="0" eb="2">
      <t>ブンシュウ</t>
    </rPh>
    <rPh sb="2" eb="3">
      <t>ヒ</t>
    </rPh>
    <phoneticPr fontId="1"/>
  </si>
  <si>
    <t>発振周波数</t>
    <rPh sb="0" eb="2">
      <t>ハッシン</t>
    </rPh>
    <rPh sb="2" eb="5">
      <t>シュウハスウ</t>
    </rPh>
    <phoneticPr fontId="1"/>
  </si>
  <si>
    <t>下限回転数(8bit)</t>
    <rPh sb="0" eb="2">
      <t>カゲン</t>
    </rPh>
    <rPh sb="2" eb="5">
      <t>カイテンスウ</t>
    </rPh>
    <phoneticPr fontId="1"/>
  </si>
  <si>
    <t>補間(8bit)</t>
    <rPh sb="0" eb="2">
      <t>ホカン</t>
    </rPh>
    <phoneticPr fontId="1"/>
  </si>
  <si>
    <t>下限回転数(14bit)</t>
    <rPh sb="0" eb="2">
      <t>カゲン</t>
    </rPh>
    <rPh sb="2" eb="5">
      <t>カイテンスウ</t>
    </rPh>
    <phoneticPr fontId="1"/>
  </si>
  <si>
    <t>28bit</t>
    <phoneticPr fontId="1"/>
  </si>
  <si>
    <t>ADC変換周期</t>
    <rPh sb="3" eb="5">
      <t>ヘンカン</t>
    </rPh>
    <rPh sb="5" eb="7">
      <t>シュウキ</t>
    </rPh>
    <phoneticPr fontId="1"/>
  </si>
  <si>
    <t>等価サンプリング</t>
    <rPh sb="0" eb="2">
      <t>トウカ</t>
    </rPh>
    <phoneticPr fontId="1"/>
  </si>
  <si>
    <t>μs</t>
    <phoneticPr fontId="1"/>
  </si>
  <si>
    <t>ADC変換結果係数</t>
    <rPh sb="3" eb="5">
      <t>ヘンカン</t>
    </rPh>
    <rPh sb="5" eb="7">
      <t>ケッカ</t>
    </rPh>
    <rPh sb="7" eb="9">
      <t>ケイスウ</t>
    </rPh>
    <phoneticPr fontId="1"/>
  </si>
  <si>
    <t>変換後の取得値にかける係数</t>
    <rPh sb="0" eb="2">
      <t>ヘンカン</t>
    </rPh>
    <rPh sb="2" eb="3">
      <t>ゴ</t>
    </rPh>
    <rPh sb="4" eb="6">
      <t>シュトク</t>
    </rPh>
    <rPh sb="6" eb="7">
      <t>アタイ</t>
    </rPh>
    <rPh sb="11" eb="13">
      <t>ケイスウ</t>
    </rPh>
    <phoneticPr fontId="1"/>
  </si>
  <si>
    <t>サンプリング波数</t>
    <rPh sb="6" eb="7">
      <t>ハ</t>
    </rPh>
    <rPh sb="7" eb="8">
      <t>スウ</t>
    </rPh>
    <phoneticPr fontId="1"/>
  </si>
  <si>
    <t>pre-scaler</t>
    <phoneticPr fontId="1"/>
  </si>
  <si>
    <t>post-scaler</t>
    <phoneticPr fontId="1"/>
  </si>
  <si>
    <t>Timerの1tickよりも変換周期が伸びたので、等価サンプリングに必要な波数</t>
    <rPh sb="14" eb="16">
      <t>ヘンカン</t>
    </rPh>
    <rPh sb="16" eb="18">
      <t>シュウキ</t>
    </rPh>
    <rPh sb="19" eb="20">
      <t>ノ</t>
    </rPh>
    <rPh sb="25" eb="27">
      <t>トウカ</t>
    </rPh>
    <rPh sb="34" eb="36">
      <t>ヒツヨウ</t>
    </rPh>
    <rPh sb="37" eb="39">
      <t>ハスウ</t>
    </rPh>
    <phoneticPr fontId="1"/>
  </si>
  <si>
    <t>実際にサンプリングする波数</t>
    <rPh sb="0" eb="2">
      <t>ジッサイ</t>
    </rPh>
    <rPh sb="11" eb="13">
      <t>ハスウ</t>
    </rPh>
    <phoneticPr fontId="1"/>
  </si>
  <si>
    <t>係数丸め</t>
    <rPh sb="0" eb="2">
      <t>ケイスウ</t>
    </rPh>
    <rPh sb="2" eb="3">
      <t>マル</t>
    </rPh>
    <phoneticPr fontId="1"/>
  </si>
  <si>
    <t>誤差</t>
    <rPh sb="0" eb="2">
      <t>ゴサ</t>
    </rPh>
    <phoneticPr fontId="1"/>
  </si>
  <si>
    <t>FSOC</t>
    <phoneticPr fontId="1"/>
  </si>
  <si>
    <t>Timerの1tickよりも変換周期が伸びたので、等価サンプリングに必要な波数, FCY/Pre/Post*256*Period/1000000</t>
    <rPh sb="14" eb="16">
      <t>ヘンカン</t>
    </rPh>
    <rPh sb="16" eb="18">
      <t>シュウキ</t>
    </rPh>
    <rPh sb="19" eb="20">
      <t>ノ</t>
    </rPh>
    <rPh sb="25" eb="27">
      <t>トウカ</t>
    </rPh>
    <rPh sb="34" eb="36">
      <t>ヒツヨウ</t>
    </rPh>
    <rPh sb="37" eb="39">
      <t>ハスウ</t>
    </rPh>
    <phoneticPr fontId="1"/>
  </si>
  <si>
    <t>Timerの1tickよりも変換周期が伸びたので、等価サンプリングに必要な波数, FSOC*256*(1/FSOC)</t>
    <rPh sb="14" eb="16">
      <t>ヘンカン</t>
    </rPh>
    <rPh sb="16" eb="18">
      <t>シュウキ</t>
    </rPh>
    <rPh sb="19" eb="20">
      <t>ノ</t>
    </rPh>
    <rPh sb="25" eb="27">
      <t>トウカ</t>
    </rPh>
    <rPh sb="34" eb="36">
      <t>ヒツヨウ</t>
    </rPh>
    <rPh sb="37" eb="39">
      <t>ハスウ</t>
    </rPh>
    <phoneticPr fontId="1"/>
  </si>
  <si>
    <t>変換後の取得値にかける係数, FCY/Pre/Post*256*Period/1000000/Samples</t>
    <rPh sb="0" eb="2">
      <t>ヘンカン</t>
    </rPh>
    <rPh sb="2" eb="3">
      <t>ゴ</t>
    </rPh>
    <rPh sb="4" eb="6">
      <t>シュトク</t>
    </rPh>
    <rPh sb="6" eb="7">
      <t>アタイ</t>
    </rPh>
    <rPh sb="11" eb="13">
      <t>ケイスウ</t>
    </rPh>
    <phoneticPr fontId="1"/>
  </si>
  <si>
    <t>変換後の取得値にかける係数, 256/Samples</t>
    <rPh sb="0" eb="2">
      <t>ヘンカン</t>
    </rPh>
    <rPh sb="2" eb="3">
      <t>ゴ</t>
    </rPh>
    <rPh sb="4" eb="6">
      <t>シュトク</t>
    </rPh>
    <rPh sb="6" eb="7">
      <t>アタイ</t>
    </rPh>
    <rPh sb="11" eb="13">
      <t>ケイスウ</t>
    </rPh>
    <phoneticPr fontId="1"/>
  </si>
  <si>
    <t>変換係数＝256/Samples*Mean/Center</t>
    <rPh sb="0" eb="2">
      <t>ヘンカン</t>
    </rPh>
    <rPh sb="2" eb="4">
      <t>ケイスウ</t>
    </rPh>
    <phoneticPr fontId="1"/>
  </si>
  <si>
    <t>固定小数点数の変換係数＝Mean*256/Samples*Scale/Center, 小数点以下8bitならScale=256</t>
    <rPh sb="0" eb="2">
      <t>コテイ</t>
    </rPh>
    <rPh sb="2" eb="4">
      <t>ショウスウ</t>
    </rPh>
    <rPh sb="4" eb="6">
      <t>テンスウ</t>
    </rPh>
    <rPh sb="7" eb="9">
      <t>ヘンカン</t>
    </rPh>
    <rPh sb="9" eb="11">
      <t>ケイスウ</t>
    </rPh>
    <rPh sb="43" eb="46">
      <t>ショウスウテン</t>
    </rPh>
    <rPh sb="46" eb="48">
      <t>イカ</t>
    </rPh>
    <phoneticPr fontId="1"/>
  </si>
  <si>
    <t>変換係数＝FCY/Pre/Post*256*Period/1000000/Samples*Mean/Center</t>
    <phoneticPr fontId="1"/>
  </si>
  <si>
    <t>固定小数点数の変換係数＝FCY/1000000*Mean*256/Pre/Post*Period/Samples＊Scale/Center</t>
    <phoneticPr fontId="1"/>
  </si>
  <si>
    <t>32.768kHzが停止した時の検出ができない。</t>
    <rPh sb="10" eb="12">
      <t>テイシ</t>
    </rPh>
    <rPh sb="14" eb="15">
      <t>トキ</t>
    </rPh>
    <rPh sb="16" eb="18">
      <t>ケンシュツ</t>
    </rPh>
    <phoneticPr fontId="1"/>
  </si>
  <si>
    <t>下限回転数(16bit)</t>
    <rPh sb="0" eb="2">
      <t>カゲン</t>
    </rPh>
    <rPh sb="2" eb="5">
      <t>カイテンスウ</t>
    </rPh>
    <phoneticPr fontId="1"/>
  </si>
  <si>
    <t>FCYを分周(16bit timer)</t>
    <rPh sb="4" eb="6">
      <t>ブンシュウ</t>
    </rPh>
    <phoneticPr fontId="1"/>
  </si>
  <si>
    <t>FCYを分周(8bit timer)し補間</t>
    <rPh sb="4" eb="6">
      <t>ブンシュウ</t>
    </rPh>
    <rPh sb="19" eb="21">
      <t>ホカン</t>
    </rPh>
    <phoneticPr fontId="1"/>
  </si>
  <si>
    <t>Timerの1tickよりも変換周期が伸びたので、等価サンプリングに必要な波数, FCY/Pre*Period/1000000</t>
    <rPh sb="14" eb="16">
      <t>ヘンカン</t>
    </rPh>
    <rPh sb="16" eb="18">
      <t>シュウキ</t>
    </rPh>
    <rPh sb="19" eb="20">
      <t>ノ</t>
    </rPh>
    <rPh sb="25" eb="27">
      <t>トウカ</t>
    </rPh>
    <rPh sb="34" eb="36">
      <t>ヒツヨウ</t>
    </rPh>
    <rPh sb="37" eb="39">
      <t>ハスウ</t>
    </rPh>
    <phoneticPr fontId="1"/>
  </si>
  <si>
    <t>変換後の取得値にかける係数, FCY/Pre*Period/1000000/Samples</t>
    <rPh sb="0" eb="2">
      <t>ヘンカン</t>
    </rPh>
    <rPh sb="2" eb="3">
      <t>ゴ</t>
    </rPh>
    <rPh sb="4" eb="6">
      <t>シュトク</t>
    </rPh>
    <rPh sb="6" eb="7">
      <t>アタイ</t>
    </rPh>
    <rPh sb="11" eb="13">
      <t>ケイスウ</t>
    </rPh>
    <phoneticPr fontId="1"/>
  </si>
  <si>
    <t>変換係数＝FCY/Pre*Period/1000000/Samples*Mean/Center</t>
    <phoneticPr fontId="1"/>
  </si>
  <si>
    <t>固定小数点数の変換係数＝FCY/1000000*Mean/Pre*Period/Samples＊Scale/Center</t>
    <phoneticPr fontId="1"/>
  </si>
  <si>
    <t>ソフトウェアPLL</t>
    <phoneticPr fontId="1"/>
  </si>
  <si>
    <t>一定時間ごとにSOSCベースのカウンタを見てOSCTUNを補正する。</t>
    <rPh sb="0" eb="2">
      <t>イッテイ</t>
    </rPh>
    <rPh sb="2" eb="4">
      <t>ジカン</t>
    </rPh>
    <rPh sb="20" eb="21">
      <t>ミ</t>
    </rPh>
    <rPh sb="29" eb="31">
      <t>ホセイ</t>
    </rPh>
    <phoneticPr fontId="1"/>
  </si>
  <si>
    <t>HFINTOSC+NCOで定周期でキャプチャするのが現実的かな？</t>
    <rPh sb="13" eb="16">
      <t>テイシュウキ</t>
    </rPh>
    <rPh sb="26" eb="29">
      <t>ゲンジツテキ</t>
    </rPh>
    <phoneticPr fontId="1"/>
  </si>
  <si>
    <t>HFINTOSC</t>
    <phoneticPr fontId="1"/>
  </si>
  <si>
    <t>FNCO</t>
    <phoneticPr fontId="1"/>
  </si>
  <si>
    <t>Hz</t>
    <phoneticPr fontId="1"/>
  </si>
  <si>
    <t>NCO Increment</t>
    <phoneticPr fontId="1"/>
  </si>
  <si>
    <t>Ref Increment</t>
    <phoneticPr fontId="1"/>
  </si>
  <si>
    <t>FSOSC</t>
    <phoneticPr fontId="1"/>
  </si>
  <si>
    <t>OSCTUN gain</t>
    <phoneticPr fontId="1"/>
  </si>
  <si>
    <t>大体動く。OSCTUNで変化させることができる範囲が±3%くらいしかないので、極端な環境ではロックできなさそう。</t>
    <rPh sb="0" eb="2">
      <t>ダイタイ</t>
    </rPh>
    <rPh sb="2" eb="3">
      <t>ウゴ</t>
    </rPh>
    <rPh sb="12" eb="14">
      <t>ヘンカ</t>
    </rPh>
    <rPh sb="23" eb="25">
      <t>ハンイ</t>
    </rPh>
    <rPh sb="39" eb="41">
      <t>キョクタン</t>
    </rPh>
    <rPh sb="42" eb="44">
      <t>カンキョウ</t>
    </rPh>
    <phoneticPr fontId="1"/>
  </si>
  <si>
    <t>FVR変換値</t>
    <rPh sb="3" eb="5">
      <t>ヘンカン</t>
    </rPh>
    <rPh sb="5" eb="6">
      <t>チ</t>
    </rPh>
    <phoneticPr fontId="1"/>
  </si>
  <si>
    <t>8192*1024/Vin</t>
    <phoneticPr fontId="1"/>
  </si>
  <si>
    <t>CEMF変換値</t>
    <rPh sb="4" eb="6">
      <t>ヘンカン</t>
    </rPh>
    <rPh sb="6" eb="7">
      <t>チ</t>
    </rPh>
    <phoneticPr fontId="1"/>
  </si>
  <si>
    <t>1024*CEMF/Vin</t>
    <phoneticPr fontId="1"/>
  </si>
  <si>
    <t>CEMF/FVR</t>
    <phoneticPr fontId="1"/>
  </si>
  <si>
    <t>CEMF/8192</t>
    <phoneticPr fontId="1"/>
  </si>
  <si>
    <t>±</t>
    <phoneticPr fontId="1"/>
  </si>
  <si>
    <t>90/(30*pi)*(-sin(trail)+sin(lead))</t>
    <phoneticPr fontId="1"/>
  </si>
  <si>
    <t>底</t>
    <rPh sb="0" eb="1">
      <t>ソコ</t>
    </rPh>
    <phoneticPr fontId="1"/>
  </si>
  <si>
    <t>1800rpm</t>
    <phoneticPr fontId="1"/>
  </si>
  <si>
    <t>山</t>
    <rPh sb="0" eb="1">
      <t>ヤマ</t>
    </rPh>
    <phoneticPr fontId="1"/>
  </si>
  <si>
    <t>平均</t>
    <rPh sb="0" eb="2">
      <t>ヘイキン</t>
    </rPh>
    <phoneticPr fontId="1"/>
  </si>
  <si>
    <t>v.s. 山</t>
    <rPh sb="5" eb="6">
      <t>ヤマ</t>
    </rPh>
    <phoneticPr fontId="1"/>
  </si>
  <si>
    <t>v.s. 4480</t>
    <phoneticPr fontId="1"/>
  </si>
  <si>
    <t>±43°くらい？</t>
    <phoneticPr fontId="1"/>
  </si>
  <si>
    <t>±42°くらい？</t>
    <phoneticPr fontId="1"/>
  </si>
  <si>
    <t>±30°の仮定が成り立ってない。</t>
    <rPh sb="5" eb="7">
      <t>カテイ</t>
    </rPh>
    <rPh sb="8" eb="9">
      <t>ナ</t>
    </rPh>
    <rPh sb="10" eb="11">
      <t>タ</t>
    </rPh>
    <phoneticPr fontId="1"/>
  </si>
  <si>
    <t>RE-140</t>
    <phoneticPr fontId="1"/>
  </si>
  <si>
    <t>v.s. 6000</t>
    <phoneticPr fontId="1"/>
  </si>
  <si>
    <t>v.s. 6673</t>
    <phoneticPr fontId="1"/>
  </si>
  <si>
    <t>±40°くらい？</t>
    <phoneticPr fontId="1"/>
  </si>
  <si>
    <t>±37°くらい？</t>
    <phoneticPr fontId="1"/>
  </si>
  <si>
    <t>±46°くらい？</t>
    <phoneticPr fontId="1"/>
  </si>
  <si>
    <t>32768*90/pi/a</t>
    <phoneticPr fontId="1"/>
  </si>
  <si>
    <t>a=30</t>
    <phoneticPr fontId="1"/>
  </si>
  <si>
    <t>a=40</t>
    <phoneticPr fontId="1"/>
  </si>
  <si>
    <t>入力
歯数</t>
    <rPh sb="0" eb="1">
      <t>ニュウリョク</t>
    </rPh>
    <rPh sb="2" eb="3">
      <t>ハ</t>
    </rPh>
    <rPh sb="3" eb="4">
      <t>カズ</t>
    </rPh>
    <phoneticPr fontId="1"/>
  </si>
  <si>
    <t>出力
歯数</t>
    <rPh sb="0" eb="1">
      <t>シュツリョク</t>
    </rPh>
    <rPh sb="2" eb="3">
      <t>ハ</t>
    </rPh>
    <rPh sb="3" eb="4">
      <t>カズ</t>
    </rPh>
    <phoneticPr fontId="1"/>
  </si>
  <si>
    <t>減速比</t>
    <rPh sb="0" eb="1">
      <t>ゲンソク</t>
    </rPh>
    <rPh sb="1" eb="2">
      <t>ヒ</t>
    </rPh>
    <phoneticPr fontId="1"/>
  </si>
  <si>
    <t>全減速比</t>
    <rPh sb="0" eb="2">
      <t>ゲンソク</t>
    </rPh>
    <rPh sb="2" eb="3">
      <t>ヒ</t>
    </rPh>
    <phoneticPr fontId="1"/>
  </si>
  <si>
    <t>計算上の
トルク[gf-cm]</t>
    <rPh sb="0" eb="2">
      <t>ケイサン</t>
    </rPh>
    <rPh sb="2" eb="3">
      <t>ジョウ</t>
    </rPh>
    <phoneticPr fontId="1"/>
  </si>
  <si>
    <t>表示の
トルク[gf-cm]</t>
    <rPh sb="0" eb="2">
      <t>ヒョウジ</t>
    </rPh>
    <phoneticPr fontId="1"/>
  </si>
  <si>
    <t>カウンターギア</t>
    <phoneticPr fontId="1"/>
  </si>
  <si>
    <t>ファイナルギア</t>
    <phoneticPr fontId="1"/>
  </si>
  <si>
    <t>ミニモーター多段ギヤボックス（12速）
(10Tピニオン使用)</t>
    <rPh sb="28" eb="30">
      <t>シヨウ</t>
    </rPh>
    <phoneticPr fontId="1"/>
  </si>
  <si>
    <t>ミニモーター多段ギヤボックス（12速）
(9Tピニオン使用)</t>
    <phoneticPr fontId="1"/>
  </si>
  <si>
    <t>ハイスピードギヤーボックスＨＥ</t>
    <phoneticPr fontId="1"/>
  </si>
  <si>
    <t>ファイナル設定1</t>
    <rPh sb="5" eb="7">
      <t>セッテイ</t>
    </rPh>
    <phoneticPr fontId="1"/>
  </si>
  <si>
    <t>ファイナル設定2</t>
    <rPh sb="5" eb="7">
      <t>セッテイ</t>
    </rPh>
    <phoneticPr fontId="1"/>
  </si>
  <si>
    <t>ハイパワーギヤーボックスＨＥ</t>
    <phoneticPr fontId="1"/>
  </si>
  <si>
    <t>ファイナル</t>
    <phoneticPr fontId="1"/>
  </si>
  <si>
    <t>ユニバーサルギヤーボックス</t>
    <phoneticPr fontId="1"/>
  </si>
  <si>
    <t>ミニモーター標準ギヤボックス（8速）
(9Tピニオン使用)</t>
    <rPh sb="26" eb="28">
      <t>シヨウ</t>
    </rPh>
    <phoneticPr fontId="1"/>
  </si>
  <si>
    <t>ミニモーター標準ギヤボックス（8速）
(10Tピニオン使用)</t>
    <rPh sb="27" eb="29">
      <t>シヨウ</t>
    </rPh>
    <phoneticPr fontId="1"/>
  </si>
  <si>
    <t>ウォームギヤーボックスＨＥ</t>
    <phoneticPr fontId="1"/>
  </si>
  <si>
    <t>1段</t>
    <rPh sb="1" eb="2">
      <t>ダン</t>
    </rPh>
    <phoneticPr fontId="1"/>
  </si>
  <si>
    <t>１段</t>
    <rPh sb="1" eb="2">
      <t>ダン</t>
    </rPh>
    <phoneticPr fontId="1"/>
  </si>
  <si>
    <t>２段</t>
    <rPh sb="1" eb="2">
      <t>ダン</t>
    </rPh>
    <phoneticPr fontId="1"/>
  </si>
  <si>
    <t>３段</t>
    <rPh sb="1" eb="2">
      <t>ダン</t>
    </rPh>
    <phoneticPr fontId="1"/>
  </si>
  <si>
    <t>４段</t>
    <rPh sb="1" eb="2">
      <t>ダン</t>
    </rPh>
    <phoneticPr fontId="1"/>
  </si>
  <si>
    <t>4速パワーギヤボックスHE
(12Tピニオン使用)</t>
    <rPh sb="22" eb="24">
      <t>シヨウ</t>
    </rPh>
    <phoneticPr fontId="1"/>
  </si>
  <si>
    <t>4速パワーギヤボックスHE
(10Tピニオン使用)</t>
    <rPh sb="22" eb="24">
      <t>シヨウ</t>
    </rPh>
    <phoneticPr fontId="1"/>
  </si>
  <si>
    <t>ミニモーター低速ギヤボックス （4速）</t>
    <phoneticPr fontId="1"/>
  </si>
  <si>
    <t>8T</t>
    <phoneticPr fontId="1"/>
  </si>
  <si>
    <t>9T</t>
    <phoneticPr fontId="1"/>
  </si>
  <si>
    <t>10T</t>
    <phoneticPr fontId="1"/>
  </si>
  <si>
    <t>12T</t>
    <phoneticPr fontId="1"/>
  </si>
  <si>
    <t>1T</t>
    <phoneticPr fontId="1"/>
  </si>
  <si>
    <t>72T</t>
    <phoneticPr fontId="1"/>
  </si>
  <si>
    <t>3T</t>
    <phoneticPr fontId="1"/>
  </si>
  <si>
    <t>14T</t>
    <phoneticPr fontId="1"/>
  </si>
  <si>
    <t>４速クランクギヤーボックスセット</t>
    <phoneticPr fontId="1"/>
  </si>
  <si>
    <t>極軸回転</t>
    <rPh sb="0" eb="1">
      <t>キョク</t>
    </rPh>
    <rPh sb="1" eb="2">
      <t>ジク</t>
    </rPh>
    <rPh sb="2" eb="4">
      <t>カイテン</t>
    </rPh>
    <phoneticPr fontId="1"/>
  </si>
  <si>
    <t>Porta</t>
    <phoneticPr fontId="1"/>
  </si>
  <si>
    <t>６速ギヤボックスＨＥ</t>
    <phoneticPr fontId="1"/>
  </si>
  <si>
    <t>SP赤道儀</t>
    <phoneticPr fontId="1"/>
  </si>
  <si>
    <t>センサー赤道儀</t>
    <phoneticPr fontId="1"/>
  </si>
  <si>
    <t>LS0.8/DS0.8</t>
    <phoneticPr fontId="1"/>
  </si>
  <si>
    <t>DS0.8/DS0.8</t>
    <phoneticPr fontId="1"/>
  </si>
  <si>
    <t>DS1/DS1</t>
    <phoneticPr fontId="1"/>
  </si>
  <si>
    <t>Coss</t>
    <phoneticPr fontId="1"/>
  </si>
  <si>
    <t>Crss</t>
    <phoneticPr fontId="1"/>
  </si>
  <si>
    <t>AO3414</t>
    <phoneticPr fontId="1"/>
  </si>
  <si>
    <t>DMP2160U</t>
    <phoneticPr fontId="1"/>
  </si>
  <si>
    <t>DMP2305</t>
    <phoneticPr fontId="1"/>
  </si>
  <si>
    <t>DMG3415U</t>
    <phoneticPr fontId="1"/>
  </si>
  <si>
    <t>Ciss/Crss</t>
    <phoneticPr fontId="1"/>
  </si>
  <si>
    <t>周期</t>
    <rPh sb="0" eb="2">
      <t>シュウキ</t>
    </rPh>
    <phoneticPr fontId="1"/>
  </si>
  <si>
    <t>デューティー</t>
    <phoneticPr fontId="1"/>
  </si>
  <si>
    <t>ピーク電流</t>
    <rPh sb="3" eb="5">
      <t>デンリュウ</t>
    </rPh>
    <phoneticPr fontId="1"/>
  </si>
  <si>
    <t>DCM</t>
    <phoneticPr fontId="1"/>
  </si>
  <si>
    <t>LED電圧</t>
    <rPh sb="3" eb="5">
      <t>デンアツ</t>
    </rPh>
    <phoneticPr fontId="1"/>
  </si>
  <si>
    <t>V</t>
    <phoneticPr fontId="1"/>
  </si>
  <si>
    <t>mA</t>
    <phoneticPr fontId="1"/>
  </si>
  <si>
    <t>dI/dt</t>
    <phoneticPr fontId="1"/>
  </si>
  <si>
    <t>L</t>
    <phoneticPr fontId="1"/>
  </si>
  <si>
    <t>mA/us</t>
    <phoneticPr fontId="1"/>
  </si>
  <si>
    <t>mH</t>
    <phoneticPr fontId="1"/>
  </si>
  <si>
    <t>RC300-FT-14270</t>
    <phoneticPr fontId="1"/>
  </si>
  <si>
    <t>RC-300-FT/14270</t>
    <phoneticPr fontId="1"/>
  </si>
  <si>
    <t>エコモーターボックス(3速タイプ)</t>
    <rPh sb="12" eb="13">
      <t>ソク</t>
    </rPh>
    <phoneticPr fontId="1"/>
  </si>
  <si>
    <t>TRUE_NORMAL_SPEED</t>
    <phoneticPr fontId="1"/>
  </si>
  <si>
    <t>TRUE_DOUBLE_SPEED</t>
    <phoneticPr fontId="1"/>
  </si>
  <si>
    <t>追尾速度</t>
    <rPh sb="0" eb="2">
      <t>ツイビ</t>
    </rPh>
    <rPh sb="2" eb="4">
      <t>ソクド</t>
    </rPh>
    <phoneticPr fontId="1"/>
  </si>
  <si>
    <t>T</t>
    <phoneticPr fontId="1"/>
  </si>
  <si>
    <t>P_GAIN</t>
    <phoneticPr fontId="1"/>
  </si>
  <si>
    <t>I_TIME</t>
    <phoneticPr fontId="1"/>
  </si>
  <si>
    <t>PORTA II</t>
    <phoneticPr fontId="1"/>
  </si>
  <si>
    <t>DS1-12 / 91660</t>
    <phoneticPr fontId="1"/>
  </si>
  <si>
    <t>ツインモーターギヤーボックス改</t>
    <rPh sb="14" eb="15">
      <t>アラタ</t>
    </rPh>
    <phoneticPr fontId="1"/>
  </si>
  <si>
    <t>ダブルギヤボックス改</t>
    <rPh sb="9" eb="10">
      <t>アラタ</t>
    </rPh>
    <phoneticPr fontId="1"/>
  </si>
  <si>
    <t>ツインモーターギヤーボックス改</t>
    <phoneticPr fontId="1"/>
  </si>
  <si>
    <t>ダブルギヤボックス改</t>
    <phoneticPr fontId="1"/>
  </si>
  <si>
    <t>RF500TB-12560</t>
    <phoneticPr fontId="1"/>
  </si>
  <si>
    <t>RF500TB-14415</t>
    <phoneticPr fontId="1"/>
  </si>
  <si>
    <t>恒星時</t>
    <rPh sb="0" eb="2">
      <t>コウセイ</t>
    </rPh>
    <rPh sb="2" eb="3">
      <t>ジ</t>
    </rPh>
    <phoneticPr fontId="1"/>
  </si>
  <si>
    <t>太陽時</t>
    <rPh sb="0" eb="2">
      <t>タイヨウ</t>
    </rPh>
    <rPh sb="2" eb="3">
      <t>ジ</t>
    </rPh>
    <phoneticPr fontId="1"/>
  </si>
  <si>
    <t>月時</t>
    <rPh sb="0" eb="1">
      <t>ツキ</t>
    </rPh>
    <rPh sb="1" eb="2">
      <t>ジ</t>
    </rPh>
    <phoneticPr fontId="1"/>
  </si>
  <si>
    <t>FC-130RA-14150</t>
    <phoneticPr fontId="1"/>
  </si>
  <si>
    <t>FC-130SA-14150</t>
    <phoneticPr fontId="1"/>
  </si>
  <si>
    <t>FA-130RA-14150</t>
    <phoneticPr fontId="1"/>
  </si>
  <si>
    <t>FC-130RA-10300</t>
    <phoneticPr fontId="1"/>
  </si>
  <si>
    <t>Tamiya 低回転型モーター</t>
    <rPh sb="7" eb="11">
      <t>テイカイテンガタ</t>
    </rPh>
    <phoneticPr fontId="1"/>
  </si>
  <si>
    <t>x1</t>
    <phoneticPr fontId="1"/>
  </si>
  <si>
    <t>x2</t>
    <phoneticPr fontId="1"/>
  </si>
  <si>
    <t>CALC_NORMAL_SPEED</t>
    <phoneticPr fontId="1"/>
  </si>
  <si>
    <t>CALC_DOUBLE_SPEED</t>
    <phoneticPr fontId="1"/>
  </si>
  <si>
    <t>CALC_*_SPEED</t>
    <phoneticPr fontId="1"/>
  </si>
  <si>
    <t>normal sampling</t>
    <phoneticPr fontId="1"/>
  </si>
  <si>
    <t>double sampling with phase control</t>
    <phoneticPr fontId="1"/>
  </si>
  <si>
    <t>normal sampling and averaging with previous sample</t>
    <phoneticPr fontId="1"/>
  </si>
  <si>
    <t>half sampling</t>
    <phoneticPr fontId="1"/>
  </si>
  <si>
    <t>演算</t>
    <rPh sb="0" eb="2">
      <t>エンザン</t>
    </rPh>
    <phoneticPr fontId="1"/>
  </si>
  <si>
    <t>-</t>
    <phoneticPr fontId="1"/>
  </si>
  <si>
    <t>設定禁止</t>
    <rPh sb="0" eb="2">
      <t>セッテイ</t>
    </rPh>
    <rPh sb="2" eb="4">
      <t>キンシ</t>
    </rPh>
    <phoneticPr fontId="1"/>
  </si>
  <si>
    <t>2倍速のときのTの倍率</t>
    <rPh sb="1" eb="3">
      <t>バイソク</t>
    </rPh>
    <rPh sb="9" eb="11">
      <t>バイリツ</t>
    </rPh>
    <phoneticPr fontId="1"/>
  </si>
  <si>
    <t>1倍速のときの電圧の倍率</t>
    <rPh sb="1" eb="3">
      <t>バイソク</t>
    </rPh>
    <rPh sb="7" eb="9">
      <t>デンアツ</t>
    </rPh>
    <rPh sb="10" eb="12">
      <t>バイリツ</t>
    </rPh>
    <phoneticPr fontId="1"/>
  </si>
  <si>
    <t>2倍速のときの電圧の倍率</t>
    <rPh sb="1" eb="3">
      <t>バイソク</t>
    </rPh>
    <rPh sb="7" eb="9">
      <t>デンアツ</t>
    </rPh>
    <rPh sb="10" eb="12">
      <t>バイリツ</t>
    </rPh>
    <phoneticPr fontId="1"/>
  </si>
  <si>
    <t>1倍速のときのTの設定</t>
    <rPh sb="1" eb="3">
      <t>バイソク</t>
    </rPh>
    <rPh sb="9" eb="11">
      <t>セッテイ</t>
    </rPh>
    <phoneticPr fontId="1"/>
  </si>
  <si>
    <t>1倍速のときのI_TIME設定</t>
    <rPh sb="1" eb="3">
      <t>バイソク</t>
    </rPh>
    <rPh sb="13" eb="15">
      <t>セッテイ</t>
    </rPh>
    <phoneticPr fontId="1"/>
  </si>
  <si>
    <t>2倍速のときのI_TIME倍率</t>
    <rPh sb="1" eb="3">
      <t>バイソク</t>
    </rPh>
    <rPh sb="13" eb="15">
      <t>バイリツ</t>
    </rPh>
    <phoneticPr fontId="1"/>
  </si>
  <si>
    <t>地球自転周期</t>
  </si>
  <si>
    <t>太陽公転周期</t>
  </si>
  <si>
    <t>月公転周期</t>
  </si>
  <si>
    <t>秒</t>
    <rPh sb="0" eb="1">
      <t>ビョウ</t>
    </rPh>
    <phoneticPr fontId="1"/>
  </si>
  <si>
    <t>分</t>
    <rPh sb="0" eb="1">
      <t>フン</t>
    </rPh>
    <phoneticPr fontId="1"/>
  </si>
  <si>
    <t>日</t>
    <rPh sb="0" eb="1">
      <t>ヒ</t>
    </rPh>
    <phoneticPr fontId="1"/>
  </si>
  <si>
    <t>回転数 [rpm]</t>
    <rPh sb="0" eb="3">
      <t>カイテンスウ</t>
    </rPh>
    <phoneticPr fontId="1"/>
  </si>
  <si>
    <t>太陽追尾周期</t>
    <rPh sb="0" eb="2">
      <t>タイヨウ</t>
    </rPh>
    <rPh sb="2" eb="4">
      <t>ツイビ</t>
    </rPh>
    <rPh sb="4" eb="6">
      <t>シュウキ</t>
    </rPh>
    <phoneticPr fontId="1"/>
  </si>
  <si>
    <t>月追尾周期</t>
    <rPh sb="0" eb="1">
      <t>ツキ</t>
    </rPh>
    <rPh sb="1" eb="3">
      <t>ツイビ</t>
    </rPh>
    <rPh sb="3" eb="5">
      <t>シュウキ</t>
    </rPh>
    <phoneticPr fontId="1"/>
  </si>
  <si>
    <t>太陽追尾:恒星追尾</t>
    <rPh sb="0" eb="2">
      <t>タイヨウ</t>
    </rPh>
    <rPh sb="2" eb="4">
      <t>ツイビ</t>
    </rPh>
    <rPh sb="5" eb="7">
      <t>コウセイ</t>
    </rPh>
    <rPh sb="7" eb="9">
      <t>ツイビ</t>
    </rPh>
    <phoneticPr fontId="1"/>
  </si>
  <si>
    <t>月追尾:恒星追尾</t>
    <rPh sb="0" eb="1">
      <t>ツキ</t>
    </rPh>
    <rPh sb="1" eb="3">
      <t>ツイビ</t>
    </rPh>
    <phoneticPr fontId="1"/>
  </si>
  <si>
    <t>SW個数</t>
    <rPh sb="2" eb="4">
      <t>コスウ</t>
    </rPh>
    <phoneticPr fontId="1"/>
  </si>
  <si>
    <t>抵抗器(実装)</t>
    <rPh sb="0" eb="3">
      <t>テイコウキ</t>
    </rPh>
    <rPh sb="4" eb="6">
      <t>ジッソウ</t>
    </rPh>
    <phoneticPr fontId="1"/>
  </si>
  <si>
    <t>抵抗器(理想)</t>
    <rPh sb="0" eb="3">
      <t>テイコウキ</t>
    </rPh>
    <rPh sb="4" eb="6">
      <t>リソウ</t>
    </rPh>
    <phoneticPr fontId="1"/>
  </si>
  <si>
    <t>STOP</t>
    <phoneticPr fontId="1"/>
  </si>
  <si>
    <t>恒星時追尾</t>
    <rPh sb="0" eb="2">
      <t>コウセイ</t>
    </rPh>
    <rPh sb="2" eb="3">
      <t>ジ</t>
    </rPh>
    <rPh sb="3" eb="5">
      <t>ツイビ</t>
    </rPh>
    <phoneticPr fontId="1"/>
  </si>
  <si>
    <t>太陽追尾</t>
    <rPh sb="0" eb="2">
      <t>タイヨウ</t>
    </rPh>
    <rPh sb="2" eb="4">
      <t>ツイビ</t>
    </rPh>
    <phoneticPr fontId="1"/>
  </si>
  <si>
    <t>月追尾</t>
    <rPh sb="0" eb="1">
      <t>ツキ</t>
    </rPh>
    <rPh sb="1" eb="3">
      <t>ツイビ</t>
    </rPh>
    <phoneticPr fontId="1"/>
  </si>
  <si>
    <t>電流@5V [uA]</t>
    <rPh sb="0" eb="2">
      <t>デンリュウ</t>
    </rPh>
    <phoneticPr fontId="1"/>
  </si>
  <si>
    <t>10k 2S</t>
    <phoneticPr fontId="1"/>
  </si>
  <si>
    <t>10k 1S//2S</t>
    <phoneticPr fontId="1"/>
  </si>
  <si>
    <t>10k 3P</t>
    <phoneticPr fontId="1"/>
  </si>
  <si>
    <t>6.8k 2P</t>
    <phoneticPr fontId="1"/>
  </si>
  <si>
    <t>6.8k</t>
    <phoneticPr fontId="1"/>
  </si>
  <si>
    <t>6.8k 3S</t>
    <phoneticPr fontId="1"/>
  </si>
  <si>
    <t>DS0.8-16 / DS0.8-56</t>
    <phoneticPr fontId="1"/>
  </si>
  <si>
    <t>DS0.8-16 / DS0.8-70</t>
    <phoneticPr fontId="1"/>
  </si>
  <si>
    <t>SP赤道儀(軸間29mm必要)</t>
    <rPh sb="6" eb="7">
      <t>ジク</t>
    </rPh>
    <rPh sb="7" eb="8">
      <t>カン</t>
    </rPh>
    <rPh sb="12" eb="14">
      <t>ヒツヨウ</t>
    </rPh>
    <phoneticPr fontId="1"/>
  </si>
  <si>
    <t>SP赤道儀(軸間29mm必要)</t>
    <phoneticPr fontId="1"/>
  </si>
  <si>
    <t>DS1-12 / イグリデュールGスリーブ＋DS1-45</t>
    <phoneticPr fontId="1"/>
  </si>
  <si>
    <t>SP赤道儀(クランプと軽く接触する)</t>
    <rPh sb="11" eb="12">
      <t>カル</t>
    </rPh>
    <rPh sb="13" eb="15">
      <t>セッショク</t>
    </rPh>
    <phoneticPr fontId="1"/>
  </si>
  <si>
    <t>SP赤道儀(クランプと強く接触する)</t>
    <rPh sb="11" eb="12">
      <t>ツヨ</t>
    </rPh>
    <rPh sb="13" eb="15">
      <t>セッショク</t>
    </rPh>
    <phoneticPr fontId="1"/>
  </si>
  <si>
    <t>DS1-12 / イグリューデルGスリーブ＋DS1-70</t>
    <phoneticPr fontId="1"/>
  </si>
  <si>
    <t>DS0.8-16 / DS0.8-64</t>
    <phoneticPr fontId="1"/>
  </si>
  <si>
    <t>DS1-12 / イグリューデルGスリーブ＋DS1-50</t>
    <phoneticPr fontId="1"/>
  </si>
  <si>
    <t>★</t>
    <phoneticPr fontId="1"/>
  </si>
  <si>
    <t>threshold</t>
    <phoneticPr fontId="1"/>
  </si>
  <si>
    <t>DS1 /  / イグリューデルGスリーブ＋DS1-70</t>
    <phoneticPr fontId="1"/>
  </si>
  <si>
    <t>DS0.8/DS0.8-72</t>
    <phoneticPr fontId="1"/>
  </si>
  <si>
    <t>現在値</t>
    <rPh sb="0" eb="2">
      <t>ゲンザイ</t>
    </rPh>
    <rPh sb="2" eb="3">
      <t>アタイ</t>
    </rPh>
    <phoneticPr fontId="1"/>
  </si>
  <si>
    <t>正規化</t>
    <rPh sb="0" eb="3">
      <t>セイキカ</t>
    </rPh>
    <phoneticPr fontId="1"/>
  </si>
  <si>
    <t>実効値</t>
    <rPh sb="0" eb="2">
      <t>ジッコウ</t>
    </rPh>
    <rPh sb="2" eb="3">
      <t>チ</t>
    </rPh>
    <phoneticPr fontId="1"/>
  </si>
  <si>
    <t>書き換え前</t>
    <rPh sb="0" eb="1">
      <t>カ</t>
    </rPh>
    <rPh sb="2" eb="3">
      <t>カ</t>
    </rPh>
    <rPh sb="4" eb="5">
      <t>マエ</t>
    </rPh>
    <phoneticPr fontId="1"/>
  </si>
  <si>
    <t>書き換え後</t>
    <rPh sb="0" eb="1">
      <t>カ</t>
    </rPh>
    <rPh sb="2" eb="3">
      <t>カ</t>
    </rPh>
    <rPh sb="4" eb="5">
      <t>ゴ</t>
    </rPh>
    <phoneticPr fontId="1"/>
  </si>
  <si>
    <t>軸間距離27mm = 67.5T相当</t>
    <rPh sb="0" eb="1">
      <t>ジク</t>
    </rPh>
    <rPh sb="1" eb="2">
      <t>カン</t>
    </rPh>
    <rPh sb="2" eb="4">
      <t>キョリ</t>
    </rPh>
    <rPh sb="16" eb="18">
      <t>ソウトウ</t>
    </rPh>
    <phoneticPr fontId="1"/>
  </si>
  <si>
    <t>軸間距離27mm = 54T相当</t>
    <rPh sb="0" eb="1">
      <t>ジク</t>
    </rPh>
    <rPh sb="1" eb="2">
      <t>カン</t>
    </rPh>
    <rPh sb="2" eb="4">
      <t>キョリ</t>
    </rPh>
    <rPh sb="14" eb="16">
      <t>ソウトウ</t>
    </rPh>
    <phoneticPr fontId="1"/>
  </si>
  <si>
    <t>軸間距離不足</t>
    <rPh sb="0" eb="1">
      <t>ジク</t>
    </rPh>
    <rPh sb="1" eb="2">
      <t>カン</t>
    </rPh>
    <rPh sb="2" eb="4">
      <t>キョリ</t>
    </rPh>
    <rPh sb="4" eb="6">
      <t>フソク</t>
    </rPh>
    <phoneticPr fontId="1"/>
  </si>
  <si>
    <t>６速ギヤボックスＨＥ改</t>
    <rPh sb="10" eb="11">
      <t>アラタ</t>
    </rPh>
    <phoneticPr fontId="1"/>
  </si>
  <si>
    <t>トルク</t>
    <phoneticPr fontId="1"/>
  </si>
  <si>
    <t>ピッチ</t>
    <phoneticPr fontId="1"/>
  </si>
  <si>
    <t>有効径</t>
    <rPh sb="0" eb="2">
      <t>ユウコウ</t>
    </rPh>
    <rPh sb="2" eb="3">
      <t>ケイ</t>
    </rPh>
    <phoneticPr fontId="1"/>
  </si>
  <si>
    <t>リード角</t>
    <rPh sb="3" eb="4">
      <t>カク</t>
    </rPh>
    <phoneticPr fontId="1"/>
  </si>
  <si>
    <t>摩擦係数</t>
    <rPh sb="0" eb="2">
      <t>マサツ</t>
    </rPh>
    <rPh sb="2" eb="4">
      <t>ケイスウ</t>
    </rPh>
    <phoneticPr fontId="1"/>
  </si>
  <si>
    <t>摩擦角</t>
    <rPh sb="0" eb="2">
      <t>マサツ</t>
    </rPh>
    <rPh sb="2" eb="3">
      <t>カク</t>
    </rPh>
    <phoneticPr fontId="1"/>
  </si>
  <si>
    <t>mm</t>
    <phoneticPr fontId="1"/>
  </si>
  <si>
    <t>°</t>
    <phoneticPr fontId="1"/>
  </si>
  <si>
    <t>繰り上げ</t>
    <rPh sb="0" eb="1">
      <t>ク</t>
    </rPh>
    <rPh sb="2" eb="3">
      <t>ア</t>
    </rPh>
    <phoneticPr fontId="1"/>
  </si>
  <si>
    <t>繰り下げ</t>
    <rPh sb="0" eb="1">
      <t>ク</t>
    </rPh>
    <rPh sb="2" eb="3">
      <t>サ</t>
    </rPh>
    <phoneticPr fontId="1"/>
  </si>
  <si>
    <t>p</t>
    <phoneticPr fontId="1"/>
  </si>
  <si>
    <t>D</t>
    <phoneticPr fontId="1"/>
  </si>
  <si>
    <t>α</t>
    <phoneticPr fontId="1"/>
  </si>
  <si>
    <t>μ</t>
    <phoneticPr fontId="1"/>
  </si>
  <si>
    <t>θ</t>
    <phoneticPr fontId="1"/>
  </si>
  <si>
    <t>kgｆ-cm</t>
    <phoneticPr fontId="1"/>
  </si>
  <si>
    <t>kgf</t>
    <phoneticPr fontId="1"/>
  </si>
  <si>
    <t>rad</t>
    <phoneticPr fontId="1"/>
  </si>
  <si>
    <t>頂角</t>
    <rPh sb="0" eb="2">
      <t>チョウカク</t>
    </rPh>
    <phoneticPr fontId="1"/>
  </si>
  <si>
    <t>2β</t>
    <phoneticPr fontId="1"/>
  </si>
  <si>
    <t>ねじ規格</t>
    <rPh sb="2" eb="4">
      <t>キカク</t>
    </rPh>
    <phoneticPr fontId="1"/>
  </si>
  <si>
    <t>M12並目</t>
    <rPh sb="3" eb="4">
      <t>ナミ</t>
    </rPh>
    <rPh sb="4" eb="5">
      <t>メ</t>
    </rPh>
    <phoneticPr fontId="1"/>
  </si>
  <si>
    <t>M10並目</t>
    <rPh sb="3" eb="4">
      <t>ナミ</t>
    </rPh>
    <rPh sb="4" eb="5">
      <t>メ</t>
    </rPh>
    <phoneticPr fontId="1"/>
  </si>
  <si>
    <t>M8並目</t>
    <rPh sb="2" eb="3">
      <t>ナミ</t>
    </rPh>
    <rPh sb="3" eb="4">
      <t>メ</t>
    </rPh>
    <phoneticPr fontId="1"/>
  </si>
  <si>
    <t>M6並目</t>
    <rPh sb="2" eb="3">
      <t>ナミ</t>
    </rPh>
    <rPh sb="3" eb="4">
      <t>メ</t>
    </rPh>
    <phoneticPr fontId="1"/>
  </si>
  <si>
    <t>M5並目</t>
    <rPh sb="2" eb="3">
      <t>ナミ</t>
    </rPh>
    <rPh sb="3" eb="4">
      <t>メ</t>
    </rPh>
    <phoneticPr fontId="1"/>
  </si>
  <si>
    <t>M4並目</t>
    <rPh sb="2" eb="3">
      <t>ナミ</t>
    </rPh>
    <rPh sb="3" eb="4">
      <t>メ</t>
    </rPh>
    <phoneticPr fontId="1"/>
  </si>
  <si>
    <t>M3並目</t>
    <rPh sb="2" eb="3">
      <t>ナミ</t>
    </rPh>
    <rPh sb="3" eb="4">
      <t>メ</t>
    </rPh>
    <phoneticPr fontId="1"/>
  </si>
  <si>
    <t>W1/4</t>
    <phoneticPr fontId="1"/>
  </si>
  <si>
    <t>W3/8</t>
    <phoneticPr fontId="1"/>
  </si>
  <si>
    <t>W1/2</t>
    <phoneticPr fontId="1"/>
  </si>
  <si>
    <t>W5/8</t>
    <phoneticPr fontId="1"/>
  </si>
  <si>
    <t>W3/4</t>
    <phoneticPr fontId="1"/>
  </si>
  <si>
    <t>下げ/上げ</t>
    <rPh sb="0" eb="1">
      <t>サ</t>
    </rPh>
    <rPh sb="3" eb="4">
      <t>ア</t>
    </rPh>
    <phoneticPr fontId="1"/>
  </si>
  <si>
    <t>M16並目</t>
    <rPh sb="3" eb="4">
      <t>ナミ</t>
    </rPh>
    <rPh sb="4" eb="5">
      <t>メ</t>
    </rPh>
    <phoneticPr fontId="1"/>
  </si>
  <si>
    <t>W9/16</t>
    <phoneticPr fontId="1"/>
  </si>
  <si>
    <t>W7/16</t>
    <phoneticPr fontId="1"/>
  </si>
  <si>
    <t>W5/16</t>
    <phoneticPr fontId="1"/>
  </si>
  <si>
    <t>W3/16</t>
    <phoneticPr fontId="1"/>
  </si>
  <si>
    <t>W5/32</t>
    <phoneticPr fontId="1"/>
  </si>
  <si>
    <t>W1/8</t>
    <phoneticPr fontId="1"/>
  </si>
  <si>
    <t>UNC3/4</t>
    <phoneticPr fontId="1"/>
  </si>
  <si>
    <t>UNC5/8</t>
    <phoneticPr fontId="1"/>
  </si>
  <si>
    <t>UNC9/16</t>
    <phoneticPr fontId="1"/>
  </si>
  <si>
    <t>UNC1/2</t>
    <phoneticPr fontId="1"/>
  </si>
  <si>
    <t>UNC7/16</t>
    <phoneticPr fontId="1"/>
  </si>
  <si>
    <t>UNC3/8</t>
    <phoneticPr fontId="1"/>
  </si>
  <si>
    <t>UNC5/16</t>
    <phoneticPr fontId="1"/>
  </si>
  <si>
    <t>UNC1/4</t>
    <phoneticPr fontId="1"/>
  </si>
  <si>
    <t>Tr 12×2</t>
    <phoneticPr fontId="1"/>
  </si>
  <si>
    <t>Tr 8×1.5</t>
    <phoneticPr fontId="1"/>
  </si>
  <si>
    <t>Tr 10×2</t>
    <phoneticPr fontId="1"/>
  </si>
  <si>
    <t>Tr 10×1.5</t>
    <phoneticPr fontId="1"/>
  </si>
  <si>
    <t>Tr 12×3</t>
    <phoneticPr fontId="1"/>
  </si>
  <si>
    <t>Tr 16×4</t>
    <phoneticPr fontId="1"/>
  </si>
  <si>
    <t>Tr 16×2</t>
    <phoneticPr fontId="1"/>
  </si>
  <si>
    <t>Tr 20×2</t>
    <phoneticPr fontId="1"/>
  </si>
  <si>
    <t>Tr 20×4</t>
    <phoneticPr fontId="1"/>
  </si>
  <si>
    <t>Tr 18×2</t>
    <phoneticPr fontId="1"/>
  </si>
  <si>
    <t>Tr 18×4</t>
    <phoneticPr fontId="1"/>
  </si>
  <si>
    <t>Tr 14×2</t>
    <phoneticPr fontId="1"/>
  </si>
  <si>
    <t>Tr 14×3</t>
    <phoneticPr fontId="1"/>
  </si>
  <si>
    <t>M20並目</t>
    <rPh sb="3" eb="4">
      <t>ナミ</t>
    </rPh>
    <rPh sb="4" eb="5">
      <t>メ</t>
    </rPh>
    <phoneticPr fontId="1"/>
  </si>
  <si>
    <t>M18並目</t>
    <rPh sb="3" eb="4">
      <t>ナミ</t>
    </rPh>
    <rPh sb="4" eb="5">
      <t>メ</t>
    </rPh>
    <phoneticPr fontId="1"/>
  </si>
  <si>
    <t>M14並目</t>
    <rPh sb="3" eb="4">
      <t>ナミ</t>
    </rPh>
    <rPh sb="4" eb="5">
      <t>メ</t>
    </rPh>
    <phoneticPr fontId="1"/>
  </si>
  <si>
    <t>系列</t>
    <rPh sb="0" eb="2">
      <t>ケイレツ</t>
    </rPh>
    <phoneticPr fontId="1"/>
  </si>
  <si>
    <t>台形ねじ</t>
    <rPh sb="0" eb="2">
      <t>ダイケイ</t>
    </rPh>
    <phoneticPr fontId="1"/>
  </si>
  <si>
    <t>M 並目</t>
    <rPh sb="2" eb="3">
      <t>ナミ</t>
    </rPh>
    <rPh sb="3" eb="4">
      <t>メ</t>
    </rPh>
    <phoneticPr fontId="1"/>
  </si>
  <si>
    <t>W 並目</t>
    <rPh sb="2" eb="3">
      <t>ナミ</t>
    </rPh>
    <rPh sb="3" eb="4">
      <t>メ</t>
    </rPh>
    <phoneticPr fontId="1"/>
  </si>
  <si>
    <t>UNC 並目</t>
    <rPh sb="4" eb="5">
      <t>ナミ</t>
    </rPh>
    <rPh sb="5" eb="6">
      <t>メ</t>
    </rPh>
    <phoneticPr fontId="1"/>
  </si>
  <si>
    <t>６速ギヤボックスＨＥを材料に改造</t>
    <rPh sb="11" eb="13">
      <t>ザイリョウ</t>
    </rPh>
    <rPh sb="14" eb="16">
      <t>カイゾウ</t>
    </rPh>
    <phoneticPr fontId="1"/>
  </si>
  <si>
    <t>ギヤ比</t>
    <rPh sb="2" eb="3">
      <t>ヒ</t>
    </rPh>
    <phoneticPr fontId="1"/>
  </si>
  <si>
    <t>2段歯車1</t>
    <rPh sb="1" eb="2">
      <t>ダン</t>
    </rPh>
    <rPh sb="2" eb="4">
      <t>ハグルマ</t>
    </rPh>
    <phoneticPr fontId="1"/>
  </si>
  <si>
    <t>2段歯車2</t>
    <rPh sb="1" eb="2">
      <t>ダン</t>
    </rPh>
    <rPh sb="2" eb="4">
      <t>ハグルマ</t>
    </rPh>
    <phoneticPr fontId="1"/>
  </si>
  <si>
    <t>2段歯車3</t>
    <rPh sb="1" eb="2">
      <t>ダン</t>
    </rPh>
    <rPh sb="2" eb="4">
      <t>ハグルマ</t>
    </rPh>
    <phoneticPr fontId="1"/>
  </si>
  <si>
    <t>2段歯車4</t>
    <rPh sb="1" eb="2">
      <t>ダン</t>
    </rPh>
    <rPh sb="2" eb="4">
      <t>ハグルマ</t>
    </rPh>
    <phoneticPr fontId="1"/>
  </si>
  <si>
    <t>2段歯車5</t>
    <rPh sb="1" eb="2">
      <t>ダン</t>
    </rPh>
    <rPh sb="2" eb="4">
      <t>ハグルマ</t>
    </rPh>
    <phoneticPr fontId="1"/>
  </si>
  <si>
    <t>2段歯車6</t>
    <rPh sb="1" eb="2">
      <t>ダン</t>
    </rPh>
    <rPh sb="2" eb="4">
      <t>ハグルマ</t>
    </rPh>
    <phoneticPr fontId="1"/>
  </si>
  <si>
    <t>ピニオン</t>
    <phoneticPr fontId="1"/>
  </si>
  <si>
    <t>軸間</t>
    <rPh sb="0" eb="1">
      <t>ジク</t>
    </rPh>
    <rPh sb="1" eb="2">
      <t>カン</t>
    </rPh>
    <phoneticPr fontId="1"/>
  </si>
  <si>
    <t>original</t>
    <phoneticPr fontId="1"/>
  </si>
  <si>
    <t>換装</t>
    <rPh sb="0" eb="2">
      <t>カンソウ</t>
    </rPh>
    <phoneticPr fontId="1"/>
  </si>
  <si>
    <t>歯車1オフセット</t>
    <rPh sb="0" eb="2">
      <t>ハグルマ</t>
    </rPh>
    <phoneticPr fontId="1"/>
  </si>
  <si>
    <t>※歯車1入手不可</t>
    <rPh sb="1" eb="3">
      <t>ハグルマ</t>
    </rPh>
    <rPh sb="4" eb="6">
      <t>ニュウシュ</t>
    </rPh>
    <rPh sb="6" eb="8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</si>
</sst>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76" formatCode="0.000_);[Red]\(0.000\)"/>
    <numFmt numFmtId="177" formatCode="0.0_ "/>
    <numFmt numFmtId="178" formatCode="0_ "/>
    <numFmt numFmtId="179" formatCode="0.00_ "/>
    <numFmt numFmtId="180" formatCode="0.00_);[Red]\(0.00\)"/>
    <numFmt numFmtId="181" formatCode="0_);[Red]\(0\)"/>
    <numFmt numFmtId="182" formatCode="#,##0_ "/>
    <numFmt numFmtId="183" formatCode="0.000_ "/>
    <numFmt numFmtId="184" formatCode="0.0%"/>
    <numFmt numFmtId="185" formatCode="#,##0_);[Red]\(#,##0\)"/>
    <numFmt numFmtId="186" formatCode="0.0000_ "/>
    <numFmt numFmtId="187" formatCode="0.00000000_);[Red]\(0.00000000\)"/>
    <numFmt numFmtId="188" formatCode="0.0000000_ "/>
    <numFmt numFmtId="189" formatCode="0.000000_ "/>
    <numFmt numFmtId="190" formatCode="0.000000_);[Red]\(0.000000\)"/>
    <numFmt numFmtId="191" formatCode="0.0000000000_);[Red]\(0.0000000000\)"/>
    <numFmt numFmtId="192" formatCode="0.0_);[Red]\(0.0\)"/>
  </numFmts>
  <fonts count="28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theme="0" tint="-0.249977111117893"/>
      <name val="ＭＳ Ｐゴシック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 tint="-0.499984740745262"/>
      <name val="ＭＳ Ｐゴシック"/>
      <charset val="128"/>
      <scheme val="minor"/>
    </font>
    <font>
      <sz val="9"/>
      <color theme="1"/>
      <name val="CourierNew"/>
      <family val="2"/>
    </font>
    <font>
      <sz val="9"/>
      <color theme="1"/>
      <name val="Arial"/>
      <family val="2"/>
    </font>
    <font>
      <sz val="9"/>
      <color theme="1"/>
      <name val="Arial,Bold"/>
      <family val="2"/>
    </font>
    <font>
      <u/>
      <sz val="9"/>
      <color theme="1"/>
      <name val="Arial,Bold"/>
      <family val="2"/>
    </font>
    <font>
      <sz val="14"/>
      <color theme="1"/>
      <name val="CourierNew"/>
      <family val="2"/>
    </font>
    <font>
      <sz val="14"/>
      <color rgb="FFFF0000"/>
      <name val="CourierNew"/>
      <family val="2"/>
    </font>
    <font>
      <sz val="14"/>
      <color rgb="FFFF0000"/>
      <name val="ＭＳ Ｐゴシック"/>
      <family val="3"/>
      <charset val="128"/>
      <scheme val="minor"/>
    </font>
    <font>
      <sz val="12"/>
      <color rgb="FFFF660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2"/>
      <color theme="0" tint="-0.249977111117893"/>
      <name val="ＭＳ Ｐゴシック"/>
      <family val="2"/>
      <charset val="128"/>
      <scheme val="minor"/>
    </font>
    <font>
      <sz val="12"/>
      <color theme="0" tint="-0.249977111117893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theme="0" tint="-0.14999847407452621"/>
      <name val="ＭＳ Ｐゴシック"/>
      <family val="2"/>
      <charset val="128"/>
      <scheme val="minor"/>
    </font>
    <font>
      <sz val="12"/>
      <name val="ＭＳ Ｐゴシック"/>
      <family val="2"/>
      <charset val="128"/>
      <scheme val="minor"/>
    </font>
    <font>
      <sz val="12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2"/>
      <color rgb="FF00B0F0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2"/>
      <color rgb="FFFFC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5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5">
    <xf numFmtId="0" fontId="0" fillId="0" borderId="0" xfId="0"/>
    <xf numFmtId="176" fontId="0" fillId="0" borderId="0" xfId="0" applyNumberFormat="1"/>
    <xf numFmtId="0" fontId="4" fillId="0" borderId="0" xfId="0" applyFont="1"/>
    <xf numFmtId="177" fontId="0" fillId="0" borderId="0" xfId="0" applyNumberFormat="1"/>
    <xf numFmtId="177" fontId="0" fillId="0" borderId="0" xfId="0" quotePrefix="1" applyNumberFormat="1"/>
    <xf numFmtId="0" fontId="0" fillId="0" borderId="0" xfId="0" quotePrefix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0" borderId="1" xfId="0" applyBorder="1"/>
    <xf numFmtId="179" fontId="0" fillId="0" borderId="1" xfId="0" applyNumberFormat="1" applyBorder="1"/>
    <xf numFmtId="178" fontId="0" fillId="0" borderId="1" xfId="0" applyNumberFormat="1" applyBorder="1"/>
    <xf numFmtId="177" fontId="0" fillId="0" borderId="1" xfId="0" applyNumberFormat="1" applyBorder="1"/>
    <xf numFmtId="179" fontId="0" fillId="0" borderId="3" xfId="0" quotePrefix="1" applyNumberFormat="1" applyBorder="1"/>
    <xf numFmtId="178" fontId="0" fillId="0" borderId="3" xfId="0" quotePrefix="1" applyNumberFormat="1" applyBorder="1"/>
    <xf numFmtId="177" fontId="0" fillId="0" borderId="3" xfId="0" quotePrefix="1" applyNumberFormat="1" applyBorder="1"/>
    <xf numFmtId="0" fontId="0" fillId="0" borderId="3" xfId="0" applyBorder="1"/>
    <xf numFmtId="179" fontId="0" fillId="0" borderId="3" xfId="0" applyNumberFormat="1" applyBorder="1" applyAlignment="1">
      <alignment wrapText="1"/>
    </xf>
    <xf numFmtId="0" fontId="0" fillId="0" borderId="5" xfId="0" applyBorder="1"/>
    <xf numFmtId="179" fontId="0" fillId="0" borderId="5" xfId="0" applyNumberFormat="1" applyBorder="1"/>
    <xf numFmtId="178" fontId="0" fillId="0" borderId="5" xfId="0" applyNumberFormat="1" applyBorder="1"/>
    <xf numFmtId="177" fontId="0" fillId="0" borderId="5" xfId="0" applyNumberFormat="1" applyBorder="1"/>
    <xf numFmtId="0" fontId="0" fillId="0" borderId="8" xfId="0" applyBorder="1"/>
    <xf numFmtId="179" fontId="0" fillId="0" borderId="8" xfId="0" applyNumberFormat="1" applyBorder="1"/>
    <xf numFmtId="178" fontId="0" fillId="0" borderId="8" xfId="0" applyNumberFormat="1" applyBorder="1"/>
    <xf numFmtId="177" fontId="0" fillId="0" borderId="8" xfId="0" applyNumberFormat="1" applyBorder="1"/>
    <xf numFmtId="179" fontId="0" fillId="0" borderId="5" xfId="0" quotePrefix="1" applyNumberFormat="1" applyBorder="1"/>
    <xf numFmtId="177" fontId="0" fillId="0" borderId="5" xfId="0" quotePrefix="1" applyNumberFormat="1" applyBorder="1"/>
    <xf numFmtId="0" fontId="0" fillId="0" borderId="3" xfId="0" quotePrefix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8" fontId="0" fillId="0" borderId="13" xfId="0" applyNumberFormat="1" applyBorder="1" applyAlignment="1">
      <alignment vertical="center" wrapText="1"/>
    </xf>
    <xf numFmtId="178" fontId="0" fillId="0" borderId="14" xfId="0" applyNumberFormat="1" applyBorder="1" applyAlignment="1">
      <alignment vertical="center"/>
    </xf>
    <xf numFmtId="178" fontId="0" fillId="0" borderId="15" xfId="0" applyNumberFormat="1" applyBorder="1" applyAlignment="1">
      <alignment vertical="center"/>
    </xf>
    <xf numFmtId="181" fontId="0" fillId="0" borderId="0" xfId="0" applyNumberFormat="1"/>
    <xf numFmtId="181" fontId="0" fillId="0" borderId="0" xfId="0" applyNumberFormat="1" applyAlignment="1">
      <alignment vertical="center"/>
    </xf>
    <xf numFmtId="178" fontId="5" fillId="0" borderId="0" xfId="0" applyNumberFormat="1" applyFont="1"/>
    <xf numFmtId="178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82" fontId="0" fillId="0" borderId="0" xfId="0" applyNumberFormat="1"/>
    <xf numFmtId="0" fontId="0" fillId="0" borderId="0" xfId="0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0" borderId="0" xfId="0" applyFont="1"/>
    <xf numFmtId="0" fontId="0" fillId="0" borderId="33" xfId="0" applyBorder="1"/>
    <xf numFmtId="0" fontId="0" fillId="0" borderId="18" xfId="0" applyBorder="1"/>
    <xf numFmtId="0" fontId="0" fillId="0" borderId="34" xfId="0" applyBorder="1"/>
    <xf numFmtId="0" fontId="0" fillId="0" borderId="32" xfId="0" applyBorder="1"/>
    <xf numFmtId="0" fontId="0" fillId="0" borderId="19" xfId="0" applyBorder="1"/>
    <xf numFmtId="180" fontId="6" fillId="0" borderId="0" xfId="0" applyNumberFormat="1" applyFont="1"/>
    <xf numFmtId="180" fontId="16" fillId="0" borderId="0" xfId="0" applyNumberFormat="1" applyFont="1"/>
    <xf numFmtId="0" fontId="0" fillId="0" borderId="0" xfId="0" applyAlignment="1">
      <alignment horizontal="left"/>
    </xf>
    <xf numFmtId="179" fontId="6" fillId="0" borderId="0" xfId="0" applyNumberFormat="1" applyFont="1"/>
    <xf numFmtId="179" fontId="16" fillId="0" borderId="0" xfId="0" applyNumberFormat="1" applyFont="1"/>
    <xf numFmtId="0" fontId="0" fillId="0" borderId="20" xfId="0" applyBorder="1"/>
    <xf numFmtId="0" fontId="0" fillId="2" borderId="0" xfId="0" applyFill="1"/>
    <xf numFmtId="182" fontId="0" fillId="2" borderId="0" xfId="0" applyNumberFormat="1" applyFill="1"/>
    <xf numFmtId="179" fontId="0" fillId="2" borderId="0" xfId="0" applyNumberFormat="1" applyFill="1"/>
    <xf numFmtId="0" fontId="0" fillId="2" borderId="16" xfId="0" applyFill="1" applyBorder="1"/>
    <xf numFmtId="0" fontId="0" fillId="2" borderId="0" xfId="0" applyFill="1" applyAlignment="1">
      <alignment horizont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5" xfId="0" applyBorder="1" applyAlignment="1">
      <alignment vertical="center"/>
    </xf>
    <xf numFmtId="183" fontId="0" fillId="0" borderId="0" xfId="0" applyNumberFormat="1"/>
    <xf numFmtId="0" fontId="0" fillId="3" borderId="0" xfId="0" applyFill="1"/>
    <xf numFmtId="177" fontId="0" fillId="3" borderId="0" xfId="0" applyNumberFormat="1" applyFill="1"/>
    <xf numFmtId="178" fontId="0" fillId="3" borderId="0" xfId="0" applyNumberFormat="1" applyFill="1"/>
    <xf numFmtId="180" fontId="0" fillId="3" borderId="0" xfId="0" applyNumberFormat="1" applyFill="1"/>
    <xf numFmtId="0" fontId="0" fillId="3" borderId="1" xfId="0" applyFill="1" applyBorder="1"/>
    <xf numFmtId="176" fontId="0" fillId="3" borderId="1" xfId="0" applyNumberFormat="1" applyFill="1" applyBorder="1"/>
    <xf numFmtId="178" fontId="0" fillId="3" borderId="1" xfId="0" applyNumberFormat="1" applyFill="1" applyBorder="1"/>
    <xf numFmtId="176" fontId="0" fillId="0" borderId="1" xfId="0" applyNumberFormat="1" applyBorder="1"/>
    <xf numFmtId="183" fontId="0" fillId="0" borderId="6" xfId="0" applyNumberFormat="1" applyBorder="1"/>
    <xf numFmtId="181" fontId="0" fillId="0" borderId="43" xfId="0" applyNumberFormat="1" applyBorder="1"/>
    <xf numFmtId="183" fontId="0" fillId="3" borderId="6" xfId="0" applyNumberFormat="1" applyFill="1" applyBorder="1"/>
    <xf numFmtId="181" fontId="0" fillId="3" borderId="43" xfId="0" applyNumberFormat="1" applyFill="1" applyBorder="1"/>
    <xf numFmtId="183" fontId="0" fillId="0" borderId="7" xfId="0" applyNumberFormat="1" applyBorder="1"/>
    <xf numFmtId="176" fontId="0" fillId="0" borderId="8" xfId="0" applyNumberFormat="1" applyBorder="1"/>
    <xf numFmtId="181" fontId="0" fillId="0" borderId="44" xfId="0" applyNumberFormat="1" applyBorder="1"/>
    <xf numFmtId="176" fontId="0" fillId="3" borderId="6" xfId="0" applyNumberFormat="1" applyFill="1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43" xfId="0" applyNumberFormat="1" applyBorder="1"/>
    <xf numFmtId="176" fontId="0" fillId="3" borderId="43" xfId="0" applyNumberFormat="1" applyFill="1" applyBorder="1"/>
    <xf numFmtId="176" fontId="0" fillId="0" borderId="44" xfId="0" applyNumberFormat="1" applyBorder="1"/>
    <xf numFmtId="0" fontId="0" fillId="0" borderId="38" xfId="0" applyBorder="1"/>
    <xf numFmtId="0" fontId="0" fillId="0" borderId="39" xfId="0" applyBorder="1"/>
    <xf numFmtId="0" fontId="0" fillId="3" borderId="39" xfId="0" applyFill="1" applyBorder="1"/>
    <xf numFmtId="0" fontId="0" fillId="0" borderId="40" xfId="0" applyBorder="1"/>
    <xf numFmtId="0" fontId="0" fillId="3" borderId="46" xfId="0" applyFill="1" applyBorder="1"/>
    <xf numFmtId="183" fontId="0" fillId="3" borderId="47" xfId="0" applyNumberFormat="1" applyFill="1" applyBorder="1"/>
    <xf numFmtId="0" fontId="0" fillId="3" borderId="35" xfId="0" applyFill="1" applyBorder="1"/>
    <xf numFmtId="176" fontId="0" fillId="3" borderId="35" xfId="0" applyNumberFormat="1" applyFill="1" applyBorder="1"/>
    <xf numFmtId="181" fontId="0" fillId="3" borderId="48" xfId="0" applyNumberFormat="1" applyFill="1" applyBorder="1"/>
    <xf numFmtId="176" fontId="0" fillId="3" borderId="47" xfId="0" applyNumberFormat="1" applyFill="1" applyBorder="1"/>
    <xf numFmtId="178" fontId="0" fillId="3" borderId="35" xfId="0" applyNumberFormat="1" applyFill="1" applyBorder="1"/>
    <xf numFmtId="176" fontId="0" fillId="3" borderId="48" xfId="0" applyNumberFormat="1" applyFill="1" applyBorder="1"/>
    <xf numFmtId="0" fontId="0" fillId="3" borderId="15" xfId="0" applyFill="1" applyBorder="1"/>
    <xf numFmtId="183" fontId="0" fillId="3" borderId="49" xfId="0" applyNumberFormat="1" applyFill="1" applyBorder="1"/>
    <xf numFmtId="0" fontId="0" fillId="3" borderId="11" xfId="0" applyFill="1" applyBorder="1"/>
    <xf numFmtId="176" fontId="0" fillId="3" borderId="11" xfId="0" applyNumberFormat="1" applyFill="1" applyBorder="1"/>
    <xf numFmtId="181" fontId="0" fillId="3" borderId="50" xfId="0" applyNumberFormat="1" applyFill="1" applyBorder="1"/>
    <xf numFmtId="176" fontId="0" fillId="3" borderId="49" xfId="0" applyNumberFormat="1" applyFill="1" applyBorder="1"/>
    <xf numFmtId="178" fontId="0" fillId="3" borderId="11" xfId="0" applyNumberFormat="1" applyFill="1" applyBorder="1"/>
    <xf numFmtId="176" fontId="0" fillId="3" borderId="50" xfId="0" applyNumberFormat="1" applyFill="1" applyBorder="1"/>
    <xf numFmtId="176" fontId="6" fillId="3" borderId="49" xfId="0" applyNumberFormat="1" applyFont="1" applyFill="1" applyBorder="1"/>
    <xf numFmtId="176" fontId="6" fillId="0" borderId="6" xfId="0" applyNumberFormat="1" applyFont="1" applyBorder="1"/>
    <xf numFmtId="0" fontId="0" fillId="0" borderId="14" xfId="0" applyBorder="1"/>
    <xf numFmtId="183" fontId="0" fillId="0" borderId="51" xfId="0" applyNumberFormat="1" applyBorder="1"/>
    <xf numFmtId="0" fontId="0" fillId="0" borderId="10" xfId="0" applyBorder="1"/>
    <xf numFmtId="176" fontId="0" fillId="0" borderId="10" xfId="0" applyNumberFormat="1" applyBorder="1"/>
    <xf numFmtId="176" fontId="0" fillId="0" borderId="51" xfId="0" applyNumberFormat="1" applyBorder="1"/>
    <xf numFmtId="176" fontId="0" fillId="0" borderId="52" xfId="0" applyNumberFormat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181" fontId="0" fillId="0" borderId="0" xfId="0" quotePrefix="1" applyNumberFormat="1"/>
    <xf numFmtId="181" fontId="0" fillId="3" borderId="1" xfId="0" applyNumberFormat="1" applyFill="1" applyBorder="1"/>
    <xf numFmtId="178" fontId="0" fillId="3" borderId="6" xfId="0" applyNumberFormat="1" applyFill="1" applyBorder="1"/>
    <xf numFmtId="178" fontId="0" fillId="3" borderId="61" xfId="0" applyNumberFormat="1" applyFill="1" applyBorder="1"/>
    <xf numFmtId="178" fontId="0" fillId="0" borderId="6" xfId="0" applyNumberFormat="1" applyBorder="1"/>
    <xf numFmtId="184" fontId="0" fillId="3" borderId="1" xfId="0" applyNumberFormat="1" applyFill="1" applyBorder="1"/>
    <xf numFmtId="184" fontId="0" fillId="0" borderId="1" xfId="0" applyNumberFormat="1" applyBorder="1"/>
    <xf numFmtId="183" fontId="0" fillId="0" borderId="0" xfId="0" quotePrefix="1" applyNumberFormat="1"/>
    <xf numFmtId="178" fontId="0" fillId="0" borderId="0" xfId="0" quotePrefix="1" applyNumberFormat="1"/>
    <xf numFmtId="185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0" xfId="0" quotePrefix="1" applyNumberFormat="1"/>
    <xf numFmtId="186" fontId="0" fillId="0" borderId="0" xfId="0" applyNumberFormat="1"/>
    <xf numFmtId="0" fontId="17" fillId="0" borderId="0" xfId="0" applyFont="1"/>
    <xf numFmtId="178" fontId="18" fillId="0" borderId="0" xfId="0" applyNumberFormat="1" applyFont="1"/>
    <xf numFmtId="0" fontId="18" fillId="0" borderId="0" xfId="0" applyFont="1"/>
    <xf numFmtId="10" fontId="18" fillId="0" borderId="0" xfId="0" applyNumberFormat="1" applyFont="1"/>
    <xf numFmtId="181" fontId="0" fillId="0" borderId="0" xfId="0" applyNumberFormat="1" applyAlignment="1">
      <alignment horizontal="right"/>
    </xf>
    <xf numFmtId="176" fontId="6" fillId="0" borderId="0" xfId="0" applyNumberFormat="1" applyFont="1"/>
    <xf numFmtId="178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178" fontId="0" fillId="0" borderId="5" xfId="0" applyNumberFormat="1" applyBorder="1" applyAlignment="1">
      <alignment horizontal="right"/>
    </xf>
    <xf numFmtId="178" fontId="0" fillId="0" borderId="9" xfId="0" applyNumberFormat="1" applyBorder="1" applyAlignment="1">
      <alignment horizontal="right" vertical="center"/>
    </xf>
    <xf numFmtId="178" fontId="0" fillId="0" borderId="10" xfId="0" applyNumberFormat="1" applyBorder="1" applyAlignment="1">
      <alignment horizontal="right" vertical="center"/>
    </xf>
    <xf numFmtId="178" fontId="0" fillId="0" borderId="11" xfId="0" applyNumberFormat="1" applyBorder="1" applyAlignment="1">
      <alignment horizontal="right" vertical="center"/>
    </xf>
    <xf numFmtId="178" fontId="0" fillId="0" borderId="3" xfId="0" quotePrefix="1" applyNumberFormat="1" applyBorder="1" applyAlignment="1">
      <alignment horizontal="left" wrapText="1"/>
    </xf>
    <xf numFmtId="179" fontId="0" fillId="0" borderId="3" xfId="0" quotePrefix="1" applyNumberFormat="1" applyBorder="1" applyAlignment="1">
      <alignment horizontal="left" wrapText="1"/>
    </xf>
    <xf numFmtId="179" fontId="0" fillId="0" borderId="5" xfId="0" applyNumberFormat="1" applyBorder="1" applyAlignment="1">
      <alignment horizontal="right"/>
    </xf>
    <xf numFmtId="179" fontId="0" fillId="0" borderId="1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79" fontId="0" fillId="0" borderId="11" xfId="0" applyNumberFormat="1" applyBorder="1"/>
    <xf numFmtId="178" fontId="0" fillId="0" borderId="10" xfId="0" applyNumberFormat="1" applyBorder="1" applyAlignment="1">
      <alignment horizontal="right"/>
    </xf>
    <xf numFmtId="179" fontId="0" fillId="0" borderId="35" xfId="0" applyNumberFormat="1" applyBorder="1"/>
    <xf numFmtId="178" fontId="0" fillId="0" borderId="35" xfId="0" applyNumberFormat="1" applyBorder="1"/>
    <xf numFmtId="177" fontId="0" fillId="0" borderId="35" xfId="0" applyNumberFormat="1" applyBorder="1"/>
    <xf numFmtId="0" fontId="0" fillId="0" borderId="35" xfId="0" applyBorder="1"/>
    <xf numFmtId="178" fontId="0" fillId="0" borderId="35" xfId="0" applyNumberFormat="1" applyBorder="1" applyAlignment="1">
      <alignment horizontal="right"/>
    </xf>
    <xf numFmtId="178" fontId="0" fillId="0" borderId="1" xfId="0" applyNumberFormat="1" applyBorder="1" applyAlignment="1">
      <alignment horizontal="right"/>
    </xf>
    <xf numFmtId="178" fontId="0" fillId="0" borderId="35" xfId="0" applyNumberFormat="1" applyBorder="1" applyAlignment="1">
      <alignment horizontal="right" vertical="center"/>
    </xf>
    <xf numFmtId="0" fontId="0" fillId="0" borderId="63" xfId="0" applyBorder="1"/>
    <xf numFmtId="178" fontId="0" fillId="0" borderId="63" xfId="0" applyNumberFormat="1" applyBorder="1"/>
    <xf numFmtId="178" fontId="0" fillId="0" borderId="11" xfId="0" applyNumberFormat="1" applyBorder="1"/>
    <xf numFmtId="177" fontId="0" fillId="0" borderId="11" xfId="0" applyNumberFormat="1" applyBorder="1"/>
    <xf numFmtId="0" fontId="0" fillId="0" borderId="11" xfId="0" applyBorder="1"/>
    <xf numFmtId="177" fontId="0" fillId="0" borderId="3" xfId="0" quotePrefix="1" applyNumberFormat="1" applyBorder="1" applyAlignment="1">
      <alignment wrapText="1"/>
    </xf>
    <xf numFmtId="177" fontId="0" fillId="0" borderId="35" xfId="0" quotePrefix="1" applyNumberFormat="1" applyBorder="1"/>
    <xf numFmtId="179" fontId="0" fillId="0" borderId="9" xfId="0" applyNumberFormat="1" applyBorder="1"/>
    <xf numFmtId="178" fontId="0" fillId="0" borderId="10" xfId="0" applyNumberFormat="1" applyBorder="1"/>
    <xf numFmtId="177" fontId="0" fillId="0" borderId="10" xfId="0" applyNumberFormat="1" applyBorder="1"/>
    <xf numFmtId="177" fontId="0" fillId="0" borderId="9" xfId="0" applyNumberFormat="1" applyBorder="1"/>
    <xf numFmtId="179" fontId="0" fillId="0" borderId="10" xfId="0" applyNumberFormat="1" applyBorder="1"/>
    <xf numFmtId="178" fontId="0" fillId="0" borderId="9" xfId="0" applyNumberFormat="1" applyBorder="1"/>
    <xf numFmtId="0" fontId="19" fillId="0" borderId="2" xfId="0" quotePrefix="1" applyFont="1" applyBorder="1" applyAlignment="1">
      <alignment wrapText="1"/>
    </xf>
    <xf numFmtId="0" fontId="4" fillId="0" borderId="4" xfId="0" applyFont="1" applyBorder="1"/>
    <xf numFmtId="0" fontId="19" fillId="0" borderId="4" xfId="0" applyFont="1" applyBorder="1"/>
    <xf numFmtId="0" fontId="19" fillId="0" borderId="0" xfId="0" applyFont="1"/>
    <xf numFmtId="9" fontId="0" fillId="0" borderId="3" xfId="0" quotePrefix="1" applyNumberFormat="1" applyBorder="1"/>
    <xf numFmtId="9" fontId="0" fillId="0" borderId="5" xfId="0" applyNumberFormat="1" applyBorder="1"/>
    <xf numFmtId="9" fontId="0" fillId="0" borderId="35" xfId="0" applyNumberFormat="1" applyBorder="1"/>
    <xf numFmtId="9" fontId="0" fillId="0" borderId="1" xfId="0" applyNumberFormat="1" applyBorder="1"/>
    <xf numFmtId="9" fontId="0" fillId="0" borderId="8" xfId="0" applyNumberFormat="1" applyBorder="1"/>
    <xf numFmtId="9" fontId="0" fillId="0" borderId="11" xfId="0" applyNumberFormat="1" applyBorder="1"/>
    <xf numFmtId="9" fontId="0" fillId="0" borderId="55" xfId="0" applyNumberFormat="1" applyBorder="1"/>
    <xf numFmtId="9" fontId="0" fillId="0" borderId="0" xfId="0" applyNumberFormat="1"/>
    <xf numFmtId="0" fontId="20" fillId="0" borderId="0" xfId="0" applyFont="1"/>
    <xf numFmtId="179" fontId="20" fillId="0" borderId="0" xfId="0" applyNumberFormat="1" applyFont="1"/>
    <xf numFmtId="10" fontId="0" fillId="0" borderId="0" xfId="0" applyNumberFormat="1"/>
    <xf numFmtId="0" fontId="21" fillId="0" borderId="0" xfId="0" applyFont="1"/>
    <xf numFmtId="0" fontId="19" fillId="0" borderId="6" xfId="0" applyFont="1" applyBorder="1"/>
    <xf numFmtId="0" fontId="19" fillId="0" borderId="7" xfId="0" applyFont="1" applyBorder="1"/>
    <xf numFmtId="178" fontId="0" fillId="0" borderId="8" xfId="0" applyNumberFormat="1" applyBorder="1" applyAlignment="1">
      <alignment horizontal="right"/>
    </xf>
    <xf numFmtId="179" fontId="0" fillId="0" borderId="8" xfId="0" applyNumberFormat="1" applyBorder="1" applyAlignment="1">
      <alignment horizontal="right" vertical="center"/>
    </xf>
    <xf numFmtId="0" fontId="19" fillId="0" borderId="47" xfId="0" applyFont="1" applyBorder="1" applyAlignment="1">
      <alignment vertical="center"/>
    </xf>
    <xf numFmtId="179" fontId="0" fillId="0" borderId="8" xfId="0" applyNumberFormat="1" applyBorder="1" applyAlignment="1">
      <alignment horizontal="right"/>
    </xf>
    <xf numFmtId="177" fontId="0" fillId="0" borderId="0" xfId="0" applyNumberFormat="1" applyAlignment="1">
      <alignment horizontal="center" vertical="center"/>
    </xf>
    <xf numFmtId="0" fontId="0" fillId="0" borderId="73" xfId="0" applyBorder="1"/>
    <xf numFmtId="178" fontId="0" fillId="0" borderId="73" xfId="0" applyNumberFormat="1" applyBorder="1" applyAlignment="1">
      <alignment horizontal="right"/>
    </xf>
    <xf numFmtId="0" fontId="19" fillId="0" borderId="73" xfId="0" applyFont="1" applyBorder="1"/>
    <xf numFmtId="179" fontId="0" fillId="0" borderId="0" xfId="0" applyNumberFormat="1" applyAlignment="1">
      <alignment horizontal="right" vertical="center"/>
    </xf>
    <xf numFmtId="179" fontId="0" fillId="0" borderId="73" xfId="0" applyNumberFormat="1" applyBorder="1"/>
    <xf numFmtId="179" fontId="0" fillId="0" borderId="73" xfId="0" applyNumberFormat="1" applyBorder="1" applyAlignment="1">
      <alignment horizontal="right"/>
    </xf>
    <xf numFmtId="0" fontId="19" fillId="0" borderId="47" xfId="0" applyFont="1" applyBorder="1"/>
    <xf numFmtId="0" fontId="19" fillId="0" borderId="74" xfId="0" applyFont="1" applyBorder="1"/>
    <xf numFmtId="178" fontId="6" fillId="0" borderId="1" xfId="0" applyNumberFormat="1" applyFont="1" applyBorder="1" applyAlignment="1">
      <alignment horizontal="right" vertical="center"/>
    </xf>
    <xf numFmtId="179" fontId="6" fillId="0" borderId="1" xfId="0" applyNumberFormat="1" applyFont="1" applyBorder="1" applyAlignment="1">
      <alignment horizontal="right" vertical="center"/>
    </xf>
    <xf numFmtId="179" fontId="6" fillId="0" borderId="1" xfId="0" applyNumberFormat="1" applyFont="1" applyBorder="1"/>
    <xf numFmtId="178" fontId="6" fillId="0" borderId="11" xfId="0" applyNumberFormat="1" applyFont="1" applyBorder="1" applyAlignment="1">
      <alignment horizontal="right" vertical="center"/>
    </xf>
    <xf numFmtId="179" fontId="6" fillId="0" borderId="11" xfId="0" applyNumberFormat="1" applyFont="1" applyBorder="1" applyAlignment="1">
      <alignment horizontal="right" vertical="center"/>
    </xf>
    <xf numFmtId="179" fontId="6" fillId="0" borderId="8" xfId="0" applyNumberFormat="1" applyFont="1" applyBorder="1"/>
    <xf numFmtId="178" fontId="6" fillId="0" borderId="35" xfId="0" applyNumberFormat="1" applyFont="1" applyBorder="1" applyAlignment="1">
      <alignment horizontal="right"/>
    </xf>
    <xf numFmtId="0" fontId="22" fillId="0" borderId="7" xfId="0" applyFont="1" applyBorder="1"/>
    <xf numFmtId="187" fontId="0" fillId="0" borderId="45" xfId="0" applyNumberFormat="1" applyBorder="1"/>
    <xf numFmtId="189" fontId="0" fillId="0" borderId="1" xfId="0" applyNumberFormat="1" applyBorder="1"/>
    <xf numFmtId="188" fontId="0" fillId="0" borderId="35" xfId="0" applyNumberFormat="1" applyBorder="1"/>
    <xf numFmtId="0" fontId="0" fillId="0" borderId="75" xfId="0" applyBorder="1"/>
    <xf numFmtId="187" fontId="0" fillId="0" borderId="2" xfId="0" applyNumberFormat="1" applyBorder="1"/>
    <xf numFmtId="0" fontId="0" fillId="0" borderId="76" xfId="0" applyBorder="1"/>
    <xf numFmtId="187" fontId="0" fillId="0" borderId="3" xfId="0" applyNumberFormat="1" applyBorder="1"/>
    <xf numFmtId="0" fontId="21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190" fontId="0" fillId="0" borderId="0" xfId="0" applyNumberFormat="1"/>
    <xf numFmtId="190" fontId="0" fillId="0" borderId="0" xfId="0" applyNumberFormat="1" applyAlignment="1">
      <alignment horizontal="right"/>
    </xf>
    <xf numFmtId="183" fontId="0" fillId="0" borderId="0" xfId="0" applyNumberFormat="1" applyAlignment="1">
      <alignment horizontal="right"/>
    </xf>
    <xf numFmtId="191" fontId="0" fillId="0" borderId="0" xfId="0" applyNumberFormat="1"/>
    <xf numFmtId="192" fontId="0" fillId="0" borderId="0" xfId="0" applyNumberFormat="1"/>
    <xf numFmtId="0" fontId="19" fillId="4" borderId="6" xfId="0" applyFont="1" applyFill="1" applyBorder="1"/>
    <xf numFmtId="0" fontId="0" fillId="4" borderId="1" xfId="0" applyFill="1" applyBorder="1"/>
    <xf numFmtId="178" fontId="0" fillId="4" borderId="1" xfId="0" applyNumberFormat="1" applyFill="1" applyBorder="1" applyAlignment="1">
      <alignment horizontal="right"/>
    </xf>
    <xf numFmtId="179" fontId="0" fillId="4" borderId="1" xfId="0" applyNumberFormat="1" applyFill="1" applyBorder="1" applyAlignment="1">
      <alignment horizontal="right" vertical="center"/>
    </xf>
    <xf numFmtId="179" fontId="0" fillId="4" borderId="1" xfId="0" applyNumberFormat="1" applyFill="1" applyBorder="1"/>
    <xf numFmtId="188" fontId="0" fillId="4" borderId="35" xfId="0" applyNumberFormat="1" applyFill="1" applyBorder="1"/>
    <xf numFmtId="0" fontId="19" fillId="4" borderId="47" xfId="0" applyFont="1" applyFill="1" applyBorder="1" applyAlignment="1">
      <alignment vertical="center"/>
    </xf>
    <xf numFmtId="189" fontId="0" fillId="4" borderId="1" xfId="0" applyNumberFormat="1" applyFill="1" applyBorder="1"/>
    <xf numFmtId="0" fontId="19" fillId="4" borderId="7" xfId="0" applyFont="1" applyFill="1" applyBorder="1"/>
    <xf numFmtId="0" fontId="0" fillId="4" borderId="8" xfId="0" applyFill="1" applyBorder="1"/>
    <xf numFmtId="178" fontId="0" fillId="4" borderId="8" xfId="0" applyNumberFormat="1" applyFill="1" applyBorder="1" applyAlignment="1">
      <alignment horizontal="right"/>
    </xf>
    <xf numFmtId="179" fontId="0" fillId="4" borderId="8" xfId="0" applyNumberFormat="1" applyFill="1" applyBorder="1" applyAlignment="1">
      <alignment horizontal="right"/>
    </xf>
    <xf numFmtId="179" fontId="0" fillId="4" borderId="8" xfId="0" applyNumberFormat="1" applyFill="1" applyBorder="1"/>
    <xf numFmtId="0" fontId="22" fillId="4" borderId="7" xfId="0" applyFont="1" applyFill="1" applyBorder="1"/>
    <xf numFmtId="179" fontId="0" fillId="4" borderId="8" xfId="0" applyNumberFormat="1" applyFill="1" applyBorder="1" applyAlignment="1">
      <alignment horizontal="right" vertical="center"/>
    </xf>
    <xf numFmtId="0" fontId="19" fillId="5" borderId="47" xfId="0" applyFont="1" applyFill="1" applyBorder="1"/>
    <xf numFmtId="0" fontId="0" fillId="5" borderId="1" xfId="0" applyFill="1" applyBorder="1"/>
    <xf numFmtId="178" fontId="0" fillId="5" borderId="1" xfId="0" applyNumberFormat="1" applyFill="1" applyBorder="1" applyAlignment="1">
      <alignment horizontal="right"/>
    </xf>
    <xf numFmtId="178" fontId="0" fillId="5" borderId="35" xfId="0" applyNumberFormat="1" applyFill="1" applyBorder="1" applyAlignment="1">
      <alignment horizontal="right"/>
    </xf>
    <xf numFmtId="179" fontId="0" fillId="5" borderId="1" xfId="0" applyNumberFormat="1" applyFill="1" applyBorder="1" applyAlignment="1">
      <alignment horizontal="right" vertical="center"/>
    </xf>
    <xf numFmtId="179" fontId="0" fillId="5" borderId="35" xfId="0" applyNumberFormat="1" applyFill="1" applyBorder="1"/>
    <xf numFmtId="188" fontId="0" fillId="5" borderId="35" xfId="0" applyNumberFormat="1" applyFill="1" applyBorder="1"/>
    <xf numFmtId="0" fontId="19" fillId="5" borderId="47" xfId="0" applyFont="1" applyFill="1" applyBorder="1" applyAlignment="1">
      <alignment vertical="center"/>
    </xf>
    <xf numFmtId="179" fontId="0" fillId="5" borderId="1" xfId="0" applyNumberFormat="1" applyFill="1" applyBorder="1"/>
    <xf numFmtId="189" fontId="0" fillId="5" borderId="1" xfId="0" applyNumberFormat="1" applyFill="1" applyBorder="1"/>
    <xf numFmtId="0" fontId="19" fillId="5" borderId="7" xfId="0" applyFont="1" applyFill="1" applyBorder="1"/>
    <xf numFmtId="0" fontId="0" fillId="5" borderId="8" xfId="0" applyFill="1" applyBorder="1"/>
    <xf numFmtId="178" fontId="0" fillId="5" borderId="8" xfId="0" applyNumberFormat="1" applyFill="1" applyBorder="1" applyAlignment="1">
      <alignment horizontal="right"/>
    </xf>
    <xf numFmtId="179" fontId="0" fillId="5" borderId="8" xfId="0" applyNumberFormat="1" applyFill="1" applyBorder="1" applyAlignment="1">
      <alignment horizontal="right"/>
    </xf>
    <xf numFmtId="179" fontId="0" fillId="5" borderId="8" xfId="0" applyNumberFormat="1" applyFill="1" applyBorder="1"/>
    <xf numFmtId="0" fontId="19" fillId="5" borderId="6" xfId="0" applyFont="1" applyFill="1" applyBorder="1"/>
    <xf numFmtId="179" fontId="0" fillId="5" borderId="5" xfId="0" applyNumberFormat="1" applyFill="1" applyBorder="1" applyAlignment="1">
      <alignment horizontal="right" vertical="center"/>
    </xf>
    <xf numFmtId="184" fontId="0" fillId="0" borderId="0" xfId="0" applyNumberFormat="1"/>
    <xf numFmtId="192" fontId="0" fillId="0" borderId="0" xfId="0" applyNumberFormat="1" applyAlignment="1">
      <alignment horizontal="right"/>
    </xf>
    <xf numFmtId="179" fontId="0" fillId="0" borderId="0" xfId="0" quotePrefix="1" applyNumberFormat="1"/>
    <xf numFmtId="177" fontId="0" fillId="2" borderId="0" xfId="0" applyNumberFormat="1" applyFill="1"/>
    <xf numFmtId="0" fontId="25" fillId="0" borderId="0" xfId="0" applyFont="1"/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179" fontId="25" fillId="0" borderId="0" xfId="0" applyNumberFormat="1" applyFont="1"/>
    <xf numFmtId="177" fontId="25" fillId="0" borderId="0" xfId="0" applyNumberFormat="1" applyFont="1"/>
    <xf numFmtId="183" fontId="25" fillId="0" borderId="0" xfId="0" applyNumberFormat="1" applyFont="1"/>
    <xf numFmtId="0" fontId="0" fillId="0" borderId="45" xfId="0" applyBorder="1"/>
    <xf numFmtId="0" fontId="0" fillId="0" borderId="43" xfId="0" applyBorder="1"/>
    <xf numFmtId="179" fontId="0" fillId="0" borderId="6" xfId="0" applyNumberFormat="1" applyBorder="1"/>
    <xf numFmtId="179" fontId="0" fillId="0" borderId="43" xfId="0" applyNumberFormat="1" applyBorder="1"/>
    <xf numFmtId="177" fontId="0" fillId="0" borderId="7" xfId="0" applyNumberFormat="1" applyBorder="1"/>
    <xf numFmtId="177" fontId="0" fillId="0" borderId="44" xfId="0" applyNumberFormat="1" applyBorder="1"/>
    <xf numFmtId="0" fontId="0" fillId="0" borderId="84" xfId="0" applyBorder="1"/>
    <xf numFmtId="0" fontId="0" fillId="0" borderId="85" xfId="0" applyBorder="1"/>
    <xf numFmtId="0" fontId="0" fillId="0" borderId="47" xfId="0" applyBorder="1"/>
    <xf numFmtId="0" fontId="0" fillId="2" borderId="5" xfId="0" applyFill="1" applyBorder="1"/>
    <xf numFmtId="0" fontId="0" fillId="2" borderId="1" xfId="0" applyFill="1" applyBorder="1"/>
    <xf numFmtId="179" fontId="26" fillId="0" borderId="1" xfId="0" applyNumberFormat="1" applyFont="1" applyBorder="1"/>
    <xf numFmtId="179" fontId="27" fillId="0" borderId="1" xfId="0" applyNumberFormat="1" applyFont="1" applyBorder="1"/>
    <xf numFmtId="179" fontId="16" fillId="0" borderId="1" xfId="0" applyNumberFormat="1" applyFont="1" applyBorder="1"/>
    <xf numFmtId="0" fontId="0" fillId="0" borderId="4" xfId="0" applyBorder="1"/>
    <xf numFmtId="0" fontId="0" fillId="0" borderId="6" xfId="0" applyBorder="1"/>
    <xf numFmtId="177" fontId="0" fillId="2" borderId="7" xfId="0" applyNumberFormat="1" applyFill="1" applyBorder="1"/>
    <xf numFmtId="177" fontId="0" fillId="2" borderId="44" xfId="0" applyNumberFormat="1" applyFill="1" applyBorder="1"/>
    <xf numFmtId="0" fontId="0" fillId="2" borderId="45" xfId="0" applyFill="1" applyBorder="1"/>
    <xf numFmtId="0" fontId="0" fillId="2" borderId="43" xfId="0" applyFill="1" applyBorder="1"/>
    <xf numFmtId="179" fontId="0" fillId="2" borderId="43" xfId="0" applyNumberFormat="1" applyFill="1" applyBorder="1"/>
    <xf numFmtId="179" fontId="26" fillId="0" borderId="43" xfId="0" applyNumberFormat="1" applyFont="1" applyBorder="1"/>
    <xf numFmtId="0" fontId="0" fillId="0" borderId="0" xfId="0" applyAlignment="1">
      <alignment horizontal="left"/>
    </xf>
    <xf numFmtId="176" fontId="0" fillId="0" borderId="4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45" xfId="0" applyNumberFormat="1" applyBorder="1" applyAlignment="1">
      <alignment horizontal="center"/>
    </xf>
    <xf numFmtId="183" fontId="0" fillId="0" borderId="41" xfId="0" applyNumberFormat="1" applyBorder="1" applyAlignment="1">
      <alignment horizontal="center"/>
    </xf>
    <xf numFmtId="183" fontId="0" fillId="0" borderId="42" xfId="0" applyNumberFormat="1" applyBorder="1" applyAlignment="1">
      <alignment horizontal="center"/>
    </xf>
    <xf numFmtId="183" fontId="0" fillId="0" borderId="12" xfId="0" applyNumberFormat="1" applyBorder="1" applyAlignment="1">
      <alignment horizontal="center"/>
    </xf>
    <xf numFmtId="181" fontId="0" fillId="0" borderId="41" xfId="0" applyNumberFormat="1" applyBorder="1" applyAlignment="1">
      <alignment horizontal="center"/>
    </xf>
    <xf numFmtId="181" fontId="0" fillId="0" borderId="42" xfId="0" applyNumberFormat="1" applyBorder="1" applyAlignment="1">
      <alignment horizontal="center"/>
    </xf>
    <xf numFmtId="181" fontId="0" fillId="0" borderId="12" xfId="0" applyNumberFormat="1" applyBorder="1" applyAlignment="1">
      <alignment horizontal="center"/>
    </xf>
    <xf numFmtId="0" fontId="19" fillId="0" borderId="62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62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22" fillId="0" borderId="62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9" fillId="0" borderId="65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179" fontId="0" fillId="0" borderId="0" xfId="0" applyNumberFormat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72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0" xfId="0" applyBorder="1" applyAlignment="1">
      <alignment horizontal="left"/>
    </xf>
    <xf numFmtId="0" fontId="21" fillId="0" borderId="6" xfId="0" quotePrefix="1" applyFont="1" applyBorder="1" applyAlignment="1">
      <alignment horizontal="center"/>
    </xf>
    <xf numFmtId="0" fontId="21" fillId="0" borderId="67" xfId="0" applyFont="1" applyBorder="1" applyAlignment="1">
      <alignment horizontal="center"/>
    </xf>
    <xf numFmtId="0" fontId="21" fillId="0" borderId="1" xfId="0" quotePrefix="1" applyFont="1" applyBorder="1" applyAlignment="1">
      <alignment horizontal="center"/>
    </xf>
    <xf numFmtId="0" fontId="21" fillId="0" borderId="43" xfId="0" applyFont="1" applyBorder="1" applyAlignment="1">
      <alignment horizontal="center"/>
    </xf>
    <xf numFmtId="0" fontId="0" fillId="0" borderId="72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70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9" xfId="0" applyBorder="1" applyAlignment="1">
      <alignment horizontal="left"/>
    </xf>
    <xf numFmtId="0" fontId="6" fillId="0" borderId="5" xfId="0" applyFont="1" applyBorder="1" applyAlignment="1">
      <alignment horizontal="right"/>
    </xf>
    <xf numFmtId="0" fontId="6" fillId="0" borderId="45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21" fillId="0" borderId="4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1" xfId="0" applyBorder="1" applyAlignment="1">
      <alignment horizontal="left"/>
    </xf>
    <xf numFmtId="0" fontId="0" fillId="0" borderId="7" xfId="0" quotePrefix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72" xfId="0" applyBorder="1" applyAlignment="1">
      <alignment horizontal="right" vertical="center"/>
    </xf>
    <xf numFmtId="0" fontId="0" fillId="0" borderId="68" xfId="0" applyBorder="1" applyAlignment="1">
      <alignment horizontal="right" vertical="center"/>
    </xf>
    <xf numFmtId="0" fontId="0" fillId="0" borderId="70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4" fillId="0" borderId="1" xfId="0" applyFont="1" applyBorder="1" applyAlignment="1">
      <alignment horizontal="right"/>
    </xf>
    <xf numFmtId="0" fontId="24" fillId="0" borderId="43" xfId="0" applyFont="1" applyBorder="1" applyAlignment="1">
      <alignment horizontal="right"/>
    </xf>
    <xf numFmtId="0" fontId="24" fillId="0" borderId="6" xfId="0" applyFont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0" fillId="0" borderId="78" xfId="0" applyBorder="1" applyAlignment="1">
      <alignment horizontal="right"/>
    </xf>
    <xf numFmtId="0" fontId="0" fillId="0" borderId="77" xfId="0" applyBorder="1" applyAlignment="1">
      <alignment horizontal="right"/>
    </xf>
    <xf numFmtId="0" fontId="0" fillId="0" borderId="79" xfId="0" applyBorder="1" applyAlignment="1">
      <alignment horizontal="right"/>
    </xf>
    <xf numFmtId="0" fontId="16" fillId="0" borderId="54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8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81" xfId="0" applyFont="1" applyBorder="1" applyAlignment="1">
      <alignment horizontal="center" vertical="center"/>
    </xf>
    <xf numFmtId="0" fontId="0" fillId="0" borderId="82" xfId="0" applyBorder="1" applyAlignment="1">
      <alignment horizontal="right"/>
    </xf>
    <xf numFmtId="0" fontId="0" fillId="0" borderId="63" xfId="0" applyBorder="1" applyAlignment="1">
      <alignment horizontal="right"/>
    </xf>
    <xf numFmtId="0" fontId="0" fillId="0" borderId="83" xfId="0" applyBorder="1" applyAlignment="1">
      <alignment horizontal="right"/>
    </xf>
    <xf numFmtId="0" fontId="0" fillId="0" borderId="82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83" xfId="0" applyBorder="1" applyAlignment="1">
      <alignment horizontal="left"/>
    </xf>
    <xf numFmtId="0" fontId="16" fillId="0" borderId="1" xfId="0" quotePrefix="1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67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right"/>
    </xf>
    <xf numFmtId="0" fontId="21" fillId="0" borderId="43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22" fillId="0" borderId="43" xfId="0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16" fillId="0" borderId="43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0" fontId="0" fillId="0" borderId="78" xfId="0" applyBorder="1" applyAlignment="1">
      <alignment horizontal="left"/>
    </xf>
    <xf numFmtId="0" fontId="0" fillId="0" borderId="77" xfId="0" applyBorder="1" applyAlignment="1">
      <alignment horizontal="left"/>
    </xf>
    <xf numFmtId="0" fontId="0" fillId="0" borderId="79" xfId="0" applyBorder="1" applyAlignment="1">
      <alignment horizontal="left"/>
    </xf>
    <xf numFmtId="0" fontId="22" fillId="0" borderId="7" xfId="0" applyFont="1" applyBorder="1" applyAlignment="1">
      <alignment horizontal="right"/>
    </xf>
    <xf numFmtId="0" fontId="22" fillId="0" borderId="8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44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6" fillId="0" borderId="44" xfId="0" applyFont="1" applyBorder="1" applyAlignment="1">
      <alignment horizontal="right"/>
    </xf>
    <xf numFmtId="0" fontId="22" fillId="0" borderId="44" xfId="0" applyFont="1" applyBorder="1" applyAlignment="1">
      <alignment horizontal="right"/>
    </xf>
    <xf numFmtId="179" fontId="23" fillId="0" borderId="5" xfId="0" applyNumberFormat="1" applyFont="1" applyBorder="1" applyAlignment="1">
      <alignment horizontal="right"/>
    </xf>
    <xf numFmtId="179" fontId="23" fillId="0" borderId="45" xfId="0" applyNumberFormat="1" applyFont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13" fillId="2" borderId="24" xfId="0" applyNumberFormat="1" applyFont="1" applyFill="1" applyBorder="1" applyAlignment="1">
      <alignment vertical="center" wrapText="1"/>
    </xf>
    <xf numFmtId="49" fontId="13" fillId="2" borderId="23" xfId="0" applyNumberFormat="1" applyFont="1" applyFill="1" applyBorder="1" applyAlignment="1">
      <alignment vertical="center" wrapText="1"/>
    </xf>
    <xf numFmtId="49" fontId="11" fillId="0" borderId="21" xfId="0" applyNumberFormat="1" applyFont="1" applyBorder="1" applyAlignment="1">
      <alignment vertical="center" wrapText="1"/>
    </xf>
    <xf numFmtId="49" fontId="11" fillId="0" borderId="22" xfId="0" applyNumberFormat="1" applyFont="1" applyBorder="1" applyAlignment="1">
      <alignment vertical="center" wrapText="1"/>
    </xf>
    <xf numFmtId="49" fontId="10" fillId="0" borderId="21" xfId="0" applyNumberFormat="1" applyFont="1" applyBorder="1" applyAlignment="1">
      <alignment vertical="center" wrapText="1"/>
    </xf>
    <xf numFmtId="49" fontId="10" fillId="0" borderId="22" xfId="0" applyNumberFormat="1" applyFont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49" fontId="13" fillId="0" borderId="24" xfId="0" applyNumberFormat="1" applyFont="1" applyBorder="1" applyAlignment="1">
      <alignment vertical="center" wrapText="1"/>
    </xf>
    <xf numFmtId="49" fontId="13" fillId="0" borderId="23" xfId="0" applyNumberFormat="1" applyFont="1" applyBorder="1" applyAlignment="1">
      <alignment vertical="center" wrapText="1"/>
    </xf>
    <xf numFmtId="49" fontId="12" fillId="0" borderId="25" xfId="0" applyNumberFormat="1" applyFont="1" applyBorder="1" applyAlignment="1">
      <alignment vertical="center" wrapText="1"/>
    </xf>
    <xf numFmtId="49" fontId="12" fillId="0" borderId="23" xfId="0" applyNumberFormat="1" applyFont="1" applyBorder="1" applyAlignment="1">
      <alignment vertical="center" wrapText="1"/>
    </xf>
    <xf numFmtId="49" fontId="9" fillId="0" borderId="25" xfId="0" applyNumberFormat="1" applyFont="1" applyBorder="1" applyAlignment="1">
      <alignment vertical="center" wrapText="1"/>
    </xf>
    <xf numFmtId="49" fontId="9" fillId="0" borderId="23" xfId="0" applyNumberFormat="1" applyFont="1" applyBorder="1" applyAlignment="1">
      <alignment vertical="center" wrapText="1"/>
    </xf>
    <xf numFmtId="49" fontId="9" fillId="0" borderId="24" xfId="0" applyNumberFormat="1" applyFont="1" applyBorder="1" applyAlignment="1">
      <alignment vertical="center" wrapText="1"/>
    </xf>
    <xf numFmtId="49" fontId="13" fillId="0" borderId="27" xfId="0" applyNumberFormat="1" applyFont="1" applyBorder="1" applyAlignment="1">
      <alignment vertical="center" wrapText="1"/>
    </xf>
    <xf numFmtId="49" fontId="13" fillId="0" borderId="26" xfId="0" applyNumberFormat="1" applyFont="1" applyBorder="1" applyAlignment="1">
      <alignment vertical="center" wrapText="1"/>
    </xf>
    <xf numFmtId="49" fontId="9" fillId="0" borderId="29" xfId="0" applyNumberFormat="1" applyFont="1" applyBorder="1" applyAlignment="1">
      <alignment vertical="center" wrapText="1"/>
    </xf>
    <xf numFmtId="49" fontId="9" fillId="0" borderId="31" xfId="0" applyNumberFormat="1" applyFont="1" applyBorder="1" applyAlignment="1">
      <alignment vertical="center" wrapText="1"/>
    </xf>
    <xf numFmtId="49" fontId="9" fillId="2" borderId="24" xfId="0" applyNumberFormat="1" applyFont="1" applyFill="1" applyBorder="1" applyAlignment="1">
      <alignment vertical="center" wrapText="1"/>
    </xf>
    <xf numFmtId="49" fontId="9" fillId="2" borderId="23" xfId="0" applyNumberFormat="1" applyFont="1" applyFill="1" applyBorder="1" applyAlignment="1">
      <alignment vertical="center" wrapText="1"/>
    </xf>
    <xf numFmtId="49" fontId="12" fillId="0" borderId="24" xfId="0" applyNumberFormat="1" applyFont="1" applyBorder="1" applyAlignment="1">
      <alignment vertical="center" wrapText="1"/>
    </xf>
    <xf numFmtId="49" fontId="8" fillId="2" borderId="24" xfId="0" applyNumberFormat="1" applyFont="1" applyFill="1" applyBorder="1" applyAlignment="1">
      <alignment vertical="center" wrapText="1"/>
    </xf>
    <xf numFmtId="49" fontId="8" fillId="2" borderId="23" xfId="0" applyNumberFormat="1" applyFont="1" applyFill="1" applyBorder="1" applyAlignment="1">
      <alignment vertical="center" wrapText="1"/>
    </xf>
    <xf numFmtId="49" fontId="13" fillId="0" borderId="25" xfId="0" applyNumberFormat="1" applyFont="1" applyBorder="1" applyAlignment="1">
      <alignment vertical="center" wrapText="1"/>
    </xf>
    <xf numFmtId="49" fontId="12" fillId="0" borderId="28" xfId="0" applyNumberFormat="1" applyFont="1" applyBorder="1" applyAlignment="1">
      <alignment vertical="center" wrapText="1"/>
    </xf>
    <xf numFmtId="49" fontId="12" fillId="0" borderId="30" xfId="0" applyNumberFormat="1" applyFont="1" applyBorder="1" applyAlignment="1">
      <alignment vertical="center" wrapText="1"/>
    </xf>
    <xf numFmtId="49" fontId="12" fillId="0" borderId="27" xfId="0" applyNumberFormat="1" applyFont="1" applyBorder="1" applyAlignment="1">
      <alignment vertical="center" wrapText="1"/>
    </xf>
    <xf numFmtId="49" fontId="12" fillId="0" borderId="26" xfId="0" applyNumberFormat="1" applyFont="1" applyBorder="1" applyAlignment="1">
      <alignment vertical="center" wrapText="1"/>
    </xf>
    <xf numFmtId="49" fontId="12" fillId="2" borderId="24" xfId="0" applyNumberFormat="1" applyFont="1" applyFill="1" applyBorder="1" applyAlignment="1">
      <alignment vertical="center" wrapText="1"/>
    </xf>
    <xf numFmtId="49" fontId="12" fillId="2" borderId="23" xfId="0" applyNumberFormat="1" applyFont="1" applyFill="1" applyBorder="1" applyAlignment="1">
      <alignment vertical="center" wrapText="1"/>
    </xf>
    <xf numFmtId="49" fontId="12" fillId="0" borderId="21" xfId="0" applyNumberFormat="1" applyFont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 wrapText="1"/>
    </xf>
    <xf numFmtId="49" fontId="9" fillId="2" borderId="26" xfId="0" applyNumberFormat="1" applyFont="1" applyFill="1" applyBorder="1" applyAlignment="1">
      <alignment vertical="center" wrapText="1"/>
    </xf>
    <xf numFmtId="49" fontId="12" fillId="2" borderId="21" xfId="0" applyNumberFormat="1" applyFont="1" applyFill="1" applyBorder="1" applyAlignment="1">
      <alignment vertical="center" wrapText="1"/>
    </xf>
    <xf numFmtId="49" fontId="12" fillId="2" borderId="26" xfId="0" applyNumberFormat="1" applyFont="1" applyFill="1" applyBorder="1" applyAlignment="1">
      <alignment vertical="center" wrapText="1"/>
    </xf>
    <xf numFmtId="49" fontId="9" fillId="0" borderId="27" xfId="0" applyNumberFormat="1" applyFont="1" applyBorder="1" applyAlignment="1">
      <alignment vertical="center" wrapText="1"/>
    </xf>
    <xf numFmtId="49" fontId="9" fillId="0" borderId="26" xfId="0" applyNumberFormat="1" applyFont="1" applyBorder="1" applyAlignment="1">
      <alignment vertical="center" wrapText="1"/>
    </xf>
  </cellXfs>
  <cellStyles count="258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7" builtinId="8" hidden="1"/>
    <cellStyle name="ハイパーリンク" xfId="689" builtinId="8" hidden="1"/>
    <cellStyle name="ハイパーリンク" xfId="691" builtinId="8" hidden="1"/>
    <cellStyle name="ハイパーリンク" xfId="693" builtinId="8" hidden="1"/>
    <cellStyle name="ハイパーリンク" xfId="695" builtinId="8" hidden="1"/>
    <cellStyle name="ハイパーリンク" xfId="697" builtinId="8" hidden="1"/>
    <cellStyle name="ハイパーリンク" xfId="699" builtinId="8" hidden="1"/>
    <cellStyle name="ハイパーリンク" xfId="701" builtinId="8" hidden="1"/>
    <cellStyle name="ハイパーリンク" xfId="703" builtinId="8" hidden="1"/>
    <cellStyle name="ハイパーリンク" xfId="705" builtinId="8" hidden="1"/>
    <cellStyle name="ハイパーリンク" xfId="707" builtinId="8" hidden="1"/>
    <cellStyle name="ハイパーリンク" xfId="709" builtinId="8" hidden="1"/>
    <cellStyle name="ハイパーリンク" xfId="711" builtinId="8" hidden="1"/>
    <cellStyle name="ハイパーリンク" xfId="713" builtinId="8" hidden="1"/>
    <cellStyle name="ハイパーリンク" xfId="715" builtinId="8" hidden="1"/>
    <cellStyle name="ハイパーリンク" xfId="717" builtinId="8" hidden="1"/>
    <cellStyle name="ハイパーリンク" xfId="719" builtinId="8" hidden="1"/>
    <cellStyle name="ハイパーリンク" xfId="721" builtinId="8" hidden="1"/>
    <cellStyle name="ハイパーリンク" xfId="723" builtinId="8" hidden="1"/>
    <cellStyle name="ハイパーリンク" xfId="725" builtinId="8" hidden="1"/>
    <cellStyle name="ハイパーリンク" xfId="727" builtinId="8" hidden="1"/>
    <cellStyle name="ハイパーリンク" xfId="729" builtinId="8" hidden="1"/>
    <cellStyle name="ハイパーリンク" xfId="731" builtinId="8" hidden="1"/>
    <cellStyle name="ハイパーリンク" xfId="733" builtinId="8" hidden="1"/>
    <cellStyle name="ハイパーリンク" xfId="735" builtinId="8" hidden="1"/>
    <cellStyle name="ハイパーリンク" xfId="737" builtinId="8" hidden="1"/>
    <cellStyle name="ハイパーリンク" xfId="739" builtinId="8" hidden="1"/>
    <cellStyle name="ハイパーリンク" xfId="741" builtinId="8" hidden="1"/>
    <cellStyle name="ハイパーリンク" xfId="743" builtinId="8" hidden="1"/>
    <cellStyle name="ハイパーリンク" xfId="745" builtinId="8" hidden="1"/>
    <cellStyle name="ハイパーリンク" xfId="747" builtinId="8" hidden="1"/>
    <cellStyle name="ハイパーリンク" xfId="749" builtinId="8" hidden="1"/>
    <cellStyle name="ハイパーリンク" xfId="751" builtinId="8" hidden="1"/>
    <cellStyle name="ハイパーリンク" xfId="753" builtinId="8" hidden="1"/>
    <cellStyle name="ハイパーリンク" xfId="755" builtinId="8" hidden="1"/>
    <cellStyle name="ハイパーリンク" xfId="757" builtinId="8" hidden="1"/>
    <cellStyle name="ハイパーリンク" xfId="759" builtinId="8" hidden="1"/>
    <cellStyle name="ハイパーリンク" xfId="761" builtinId="8" hidden="1"/>
    <cellStyle name="ハイパーリンク" xfId="763" builtinId="8" hidden="1"/>
    <cellStyle name="ハイパーリンク" xfId="765" builtinId="8" hidden="1"/>
    <cellStyle name="ハイパーリンク" xfId="767" builtinId="8" hidden="1"/>
    <cellStyle name="ハイパーリンク" xfId="769" builtinId="8" hidden="1"/>
    <cellStyle name="ハイパーリンク" xfId="771" builtinId="8" hidden="1"/>
    <cellStyle name="ハイパーリンク" xfId="773" builtinId="8" hidden="1"/>
    <cellStyle name="ハイパーリンク" xfId="775" builtinId="8" hidden="1"/>
    <cellStyle name="ハイパーリンク" xfId="777" builtinId="8" hidden="1"/>
    <cellStyle name="ハイパーリンク" xfId="779" builtinId="8" hidden="1"/>
    <cellStyle name="ハイパーリンク" xfId="781" builtinId="8" hidden="1"/>
    <cellStyle name="ハイパーリンク" xfId="783" builtinId="8" hidden="1"/>
    <cellStyle name="ハイパーリンク" xfId="785" builtinId="8" hidden="1"/>
    <cellStyle name="ハイパーリンク" xfId="787" builtinId="8" hidden="1"/>
    <cellStyle name="ハイパーリンク" xfId="789" builtinId="8" hidden="1"/>
    <cellStyle name="ハイパーリンク" xfId="791" builtinId="8" hidden="1"/>
    <cellStyle name="ハイパーリンク" xfId="793" builtinId="8" hidden="1"/>
    <cellStyle name="ハイパーリンク" xfId="795" builtinId="8" hidden="1"/>
    <cellStyle name="ハイパーリンク" xfId="797" builtinId="8" hidden="1"/>
    <cellStyle name="ハイパーリンク" xfId="799" builtinId="8" hidden="1"/>
    <cellStyle name="ハイパーリンク" xfId="801" builtinId="8" hidden="1"/>
    <cellStyle name="ハイパーリンク" xfId="803" builtinId="8" hidden="1"/>
    <cellStyle name="ハイパーリンク" xfId="805" builtinId="8" hidden="1"/>
    <cellStyle name="ハイパーリンク" xfId="807" builtinId="8" hidden="1"/>
    <cellStyle name="ハイパーリンク" xfId="809" builtinId="8" hidden="1"/>
    <cellStyle name="ハイパーリンク" xfId="811" builtinId="8" hidden="1"/>
    <cellStyle name="ハイパーリンク" xfId="813" builtinId="8" hidden="1"/>
    <cellStyle name="ハイパーリンク" xfId="815" builtinId="8" hidden="1"/>
    <cellStyle name="ハイパーリンク" xfId="817" builtinId="8" hidden="1"/>
    <cellStyle name="ハイパーリンク" xfId="819" builtinId="8" hidden="1"/>
    <cellStyle name="ハイパーリンク" xfId="821" builtinId="8" hidden="1"/>
    <cellStyle name="ハイパーリンク" xfId="823" builtinId="8" hidden="1"/>
    <cellStyle name="ハイパーリンク" xfId="825" builtinId="8" hidden="1"/>
    <cellStyle name="ハイパーリンク" xfId="827" builtinId="8" hidden="1"/>
    <cellStyle name="ハイパーリンク" xfId="829" builtinId="8" hidden="1"/>
    <cellStyle name="ハイパーリンク" xfId="831" builtinId="8" hidden="1"/>
    <cellStyle name="ハイパーリンク" xfId="833" builtinId="8" hidden="1"/>
    <cellStyle name="ハイパーリンク" xfId="835" builtinId="8" hidden="1"/>
    <cellStyle name="ハイパーリンク" xfId="837" builtinId="8" hidden="1"/>
    <cellStyle name="ハイパーリンク" xfId="839" builtinId="8" hidden="1"/>
    <cellStyle name="ハイパーリンク" xfId="841" builtinId="8" hidden="1"/>
    <cellStyle name="ハイパーリンク" xfId="843" builtinId="8" hidden="1"/>
    <cellStyle name="ハイパーリンク" xfId="845" builtinId="8" hidden="1"/>
    <cellStyle name="ハイパーリンク" xfId="847" builtinId="8" hidden="1"/>
    <cellStyle name="ハイパーリンク" xfId="849" builtinId="8" hidden="1"/>
    <cellStyle name="ハイパーリンク" xfId="851" builtinId="8" hidden="1"/>
    <cellStyle name="ハイパーリンク" xfId="853" builtinId="8" hidden="1"/>
    <cellStyle name="ハイパーリンク" xfId="855" builtinId="8" hidden="1"/>
    <cellStyle name="ハイパーリンク" xfId="857" builtinId="8" hidden="1"/>
    <cellStyle name="ハイパーリンク" xfId="859" builtinId="8" hidden="1"/>
    <cellStyle name="ハイパーリンク" xfId="861" builtinId="8" hidden="1"/>
    <cellStyle name="ハイパーリンク" xfId="863" builtinId="8" hidden="1"/>
    <cellStyle name="ハイパーリンク" xfId="865" builtinId="8" hidden="1"/>
    <cellStyle name="ハイパーリンク" xfId="867" builtinId="8" hidden="1"/>
    <cellStyle name="ハイパーリンク" xfId="869" builtinId="8" hidden="1"/>
    <cellStyle name="ハイパーリンク" xfId="871" builtinId="8" hidden="1"/>
    <cellStyle name="ハイパーリンク" xfId="873" builtinId="8" hidden="1"/>
    <cellStyle name="ハイパーリンク" xfId="875" builtinId="8" hidden="1"/>
    <cellStyle name="ハイパーリンク" xfId="877" builtinId="8" hidden="1"/>
    <cellStyle name="ハイパーリンク" xfId="879" builtinId="8" hidden="1"/>
    <cellStyle name="ハイパーリンク" xfId="881" builtinId="8" hidden="1"/>
    <cellStyle name="ハイパーリンク" xfId="883" builtinId="8" hidden="1"/>
    <cellStyle name="ハイパーリンク" xfId="885" builtinId="8" hidden="1"/>
    <cellStyle name="ハイパーリンク" xfId="887" builtinId="8" hidden="1"/>
    <cellStyle name="ハイパーリンク" xfId="889" builtinId="8" hidden="1"/>
    <cellStyle name="ハイパーリンク" xfId="891" builtinId="8" hidden="1"/>
    <cellStyle name="ハイパーリンク" xfId="893" builtinId="8" hidden="1"/>
    <cellStyle name="ハイパーリンク" xfId="895" builtinId="8" hidden="1"/>
    <cellStyle name="ハイパーリンク" xfId="897" builtinId="8" hidden="1"/>
    <cellStyle name="ハイパーリンク" xfId="899" builtinId="8" hidden="1"/>
    <cellStyle name="ハイパーリンク" xfId="901" builtinId="8" hidden="1"/>
    <cellStyle name="ハイパーリンク" xfId="903" builtinId="8" hidden="1"/>
    <cellStyle name="ハイパーリンク" xfId="905" builtinId="8" hidden="1"/>
    <cellStyle name="ハイパーリンク" xfId="907" builtinId="8" hidden="1"/>
    <cellStyle name="ハイパーリンク" xfId="909" builtinId="8" hidden="1"/>
    <cellStyle name="ハイパーリンク" xfId="911" builtinId="8" hidden="1"/>
    <cellStyle name="ハイパーリンク" xfId="913" builtinId="8" hidden="1"/>
    <cellStyle name="ハイパーリンク" xfId="915" builtinId="8" hidden="1"/>
    <cellStyle name="ハイパーリンク" xfId="917" builtinId="8" hidden="1"/>
    <cellStyle name="ハイパーリンク" xfId="919" builtinId="8" hidden="1"/>
    <cellStyle name="ハイパーリンク" xfId="921" builtinId="8" hidden="1"/>
    <cellStyle name="ハイパーリンク" xfId="923" builtinId="8" hidden="1"/>
    <cellStyle name="ハイパーリンク" xfId="925" builtinId="8" hidden="1"/>
    <cellStyle name="ハイパーリンク" xfId="927" builtinId="8" hidden="1"/>
    <cellStyle name="ハイパーリンク" xfId="929" builtinId="8" hidden="1"/>
    <cellStyle name="ハイパーリンク" xfId="931" builtinId="8" hidden="1"/>
    <cellStyle name="ハイパーリンク" xfId="933" builtinId="8" hidden="1"/>
    <cellStyle name="ハイパーリンク" xfId="935" builtinId="8" hidden="1"/>
    <cellStyle name="ハイパーリンク" xfId="937" builtinId="8" hidden="1"/>
    <cellStyle name="ハイパーリンク" xfId="939" builtinId="8" hidden="1"/>
    <cellStyle name="ハイパーリンク" xfId="941" builtinId="8" hidden="1"/>
    <cellStyle name="ハイパーリンク" xfId="943" builtinId="8" hidden="1"/>
    <cellStyle name="ハイパーリンク" xfId="945" builtinId="8" hidden="1"/>
    <cellStyle name="ハイパーリンク" xfId="947" builtinId="8" hidden="1"/>
    <cellStyle name="ハイパーリンク" xfId="949" builtinId="8" hidden="1"/>
    <cellStyle name="ハイパーリンク" xfId="951" builtinId="8" hidden="1"/>
    <cellStyle name="ハイパーリンク" xfId="953" builtinId="8" hidden="1"/>
    <cellStyle name="ハイパーリンク" xfId="955" builtinId="8" hidden="1"/>
    <cellStyle name="ハイパーリンク" xfId="957" builtinId="8" hidden="1"/>
    <cellStyle name="ハイパーリンク" xfId="959" builtinId="8" hidden="1"/>
    <cellStyle name="ハイパーリンク" xfId="961" builtinId="8" hidden="1"/>
    <cellStyle name="ハイパーリンク" xfId="963" builtinId="8" hidden="1"/>
    <cellStyle name="ハイパーリンク" xfId="965" builtinId="8" hidden="1"/>
    <cellStyle name="ハイパーリンク" xfId="967" builtinId="8" hidden="1"/>
    <cellStyle name="ハイパーリンク" xfId="969" builtinId="8" hidden="1"/>
    <cellStyle name="ハイパーリンク" xfId="971" builtinId="8" hidden="1"/>
    <cellStyle name="ハイパーリンク" xfId="973" builtinId="8" hidden="1"/>
    <cellStyle name="ハイパーリンク" xfId="975" builtinId="8" hidden="1"/>
    <cellStyle name="ハイパーリンク" xfId="977" builtinId="8" hidden="1"/>
    <cellStyle name="ハイパーリンク" xfId="979" builtinId="8" hidden="1"/>
    <cellStyle name="ハイパーリンク" xfId="981" builtinId="8" hidden="1"/>
    <cellStyle name="ハイパーリンク" xfId="983" builtinId="8" hidden="1"/>
    <cellStyle name="ハイパーリンク" xfId="985" builtinId="8" hidden="1"/>
    <cellStyle name="ハイパーリンク" xfId="987" builtinId="8" hidden="1"/>
    <cellStyle name="ハイパーリンク" xfId="989" builtinId="8" hidden="1"/>
    <cellStyle name="ハイパーリンク" xfId="991" builtinId="8" hidden="1"/>
    <cellStyle name="ハイパーリンク" xfId="993" builtinId="8" hidden="1"/>
    <cellStyle name="ハイパーリンク" xfId="995" builtinId="8" hidden="1"/>
    <cellStyle name="ハイパーリンク" xfId="997" builtinId="8" hidden="1"/>
    <cellStyle name="ハイパーリンク" xfId="999" builtinId="8" hidden="1"/>
    <cellStyle name="ハイパーリンク" xfId="1001" builtinId="8" hidden="1"/>
    <cellStyle name="ハイパーリンク" xfId="1003" builtinId="8" hidden="1"/>
    <cellStyle name="ハイパーリンク" xfId="1005" builtinId="8" hidden="1"/>
    <cellStyle name="ハイパーリンク" xfId="1007" builtinId="8" hidden="1"/>
    <cellStyle name="ハイパーリンク" xfId="1009" builtinId="8" hidden="1"/>
    <cellStyle name="ハイパーリンク" xfId="1011" builtinId="8" hidden="1"/>
    <cellStyle name="ハイパーリンク" xfId="1013" builtinId="8" hidden="1"/>
    <cellStyle name="ハイパーリンク" xfId="1015" builtinId="8" hidden="1"/>
    <cellStyle name="ハイパーリンク" xfId="1017" builtinId="8" hidden="1"/>
    <cellStyle name="ハイパーリンク" xfId="1019" builtinId="8" hidden="1"/>
    <cellStyle name="ハイパーリンク" xfId="1021" builtinId="8" hidden="1"/>
    <cellStyle name="ハイパーリンク" xfId="1023" builtinId="8" hidden="1"/>
    <cellStyle name="ハイパーリンク" xfId="1025" builtinId="8" hidden="1"/>
    <cellStyle name="ハイパーリンク" xfId="1027" builtinId="8" hidden="1"/>
    <cellStyle name="ハイパーリンク" xfId="1029" builtinId="8" hidden="1"/>
    <cellStyle name="ハイパーリンク" xfId="1031" builtinId="8" hidden="1"/>
    <cellStyle name="ハイパーリンク" xfId="1033" builtinId="8" hidden="1"/>
    <cellStyle name="ハイパーリンク" xfId="1035" builtinId="8" hidden="1"/>
    <cellStyle name="ハイパーリンク" xfId="1037" builtinId="8" hidden="1"/>
    <cellStyle name="ハイパーリンク" xfId="1039" builtinId="8" hidden="1"/>
    <cellStyle name="ハイパーリンク" xfId="1041" builtinId="8" hidden="1"/>
    <cellStyle name="ハイパーリンク" xfId="1043" builtinId="8" hidden="1"/>
    <cellStyle name="ハイパーリンク" xfId="1045" builtinId="8" hidden="1"/>
    <cellStyle name="ハイパーリンク" xfId="1047" builtinId="8" hidden="1"/>
    <cellStyle name="ハイパーリンク" xfId="1049" builtinId="8" hidden="1"/>
    <cellStyle name="ハイパーリンク" xfId="1051" builtinId="8" hidden="1"/>
    <cellStyle name="ハイパーリンク" xfId="1053" builtinId="8" hidden="1"/>
    <cellStyle name="ハイパーリンク" xfId="1055" builtinId="8" hidden="1"/>
    <cellStyle name="ハイパーリンク" xfId="1057" builtinId="8" hidden="1"/>
    <cellStyle name="ハイパーリンク" xfId="1059" builtinId="8" hidden="1"/>
    <cellStyle name="ハイパーリンク" xfId="1061" builtinId="8" hidden="1"/>
    <cellStyle name="ハイパーリンク" xfId="1063" builtinId="8" hidden="1"/>
    <cellStyle name="ハイパーリンク" xfId="1065" builtinId="8" hidden="1"/>
    <cellStyle name="ハイパーリンク" xfId="1067" builtinId="8" hidden="1"/>
    <cellStyle name="ハイパーリンク" xfId="1069" builtinId="8" hidden="1"/>
    <cellStyle name="ハイパーリンク" xfId="1071" builtinId="8" hidden="1"/>
    <cellStyle name="ハイパーリンク" xfId="1073" builtinId="8" hidden="1"/>
    <cellStyle name="ハイパーリンク" xfId="1075" builtinId="8" hidden="1"/>
    <cellStyle name="ハイパーリンク" xfId="1077" builtinId="8" hidden="1"/>
    <cellStyle name="ハイパーリンク" xfId="1079" builtinId="8" hidden="1"/>
    <cellStyle name="ハイパーリンク" xfId="1081" builtinId="8" hidden="1"/>
    <cellStyle name="ハイパーリンク" xfId="1083" builtinId="8" hidden="1"/>
    <cellStyle name="ハイパーリンク" xfId="1085" builtinId="8" hidden="1"/>
    <cellStyle name="ハイパーリンク" xfId="1087" builtinId="8" hidden="1"/>
    <cellStyle name="ハイパーリンク" xfId="1089" builtinId="8" hidden="1"/>
    <cellStyle name="ハイパーリンク" xfId="1091" builtinId="8" hidden="1"/>
    <cellStyle name="ハイパーリンク" xfId="1093" builtinId="8" hidden="1"/>
    <cellStyle name="ハイパーリンク" xfId="1095" builtinId="8" hidden="1"/>
    <cellStyle name="ハイパーリンク" xfId="1097" builtinId="8" hidden="1"/>
    <cellStyle name="ハイパーリンク" xfId="1099" builtinId="8" hidden="1"/>
    <cellStyle name="ハイパーリンク" xfId="1101" builtinId="8" hidden="1"/>
    <cellStyle name="ハイパーリンク" xfId="1103" builtinId="8" hidden="1"/>
    <cellStyle name="ハイパーリンク" xfId="1105" builtinId="8" hidden="1"/>
    <cellStyle name="ハイパーリンク" xfId="1107" builtinId="8" hidden="1"/>
    <cellStyle name="ハイパーリンク" xfId="1109" builtinId="8" hidden="1"/>
    <cellStyle name="ハイパーリンク" xfId="1111" builtinId="8" hidden="1"/>
    <cellStyle name="ハイパーリンク" xfId="1113" builtinId="8" hidden="1"/>
    <cellStyle name="ハイパーリンク" xfId="1115" builtinId="8" hidden="1"/>
    <cellStyle name="ハイパーリンク" xfId="1117" builtinId="8" hidden="1"/>
    <cellStyle name="ハイパーリンク" xfId="1119" builtinId="8" hidden="1"/>
    <cellStyle name="ハイパーリンク" xfId="1121" builtinId="8" hidden="1"/>
    <cellStyle name="ハイパーリンク" xfId="1123" builtinId="8" hidden="1"/>
    <cellStyle name="ハイパーリンク" xfId="1125" builtinId="8" hidden="1"/>
    <cellStyle name="ハイパーリンク" xfId="1127" builtinId="8" hidden="1"/>
    <cellStyle name="ハイパーリンク" xfId="1129" builtinId="8" hidden="1"/>
    <cellStyle name="ハイパーリンク" xfId="1131" builtinId="8" hidden="1"/>
    <cellStyle name="ハイパーリンク" xfId="1133" builtinId="8" hidden="1"/>
    <cellStyle name="ハイパーリンク" xfId="1135" builtinId="8" hidden="1"/>
    <cellStyle name="ハイパーリンク" xfId="1137" builtinId="8" hidden="1"/>
    <cellStyle name="ハイパーリンク" xfId="1139" builtinId="8" hidden="1"/>
    <cellStyle name="ハイパーリンク" xfId="1141" builtinId="8" hidden="1"/>
    <cellStyle name="ハイパーリンク" xfId="1143" builtinId="8" hidden="1"/>
    <cellStyle name="ハイパーリンク" xfId="1145" builtinId="8" hidden="1"/>
    <cellStyle name="ハイパーリンク" xfId="1147" builtinId="8" hidden="1"/>
    <cellStyle name="ハイパーリンク" xfId="1149" builtinId="8" hidden="1"/>
    <cellStyle name="ハイパーリンク" xfId="1151" builtinId="8" hidden="1"/>
    <cellStyle name="ハイパーリンク" xfId="1153" builtinId="8" hidden="1"/>
    <cellStyle name="ハイパーリンク" xfId="1155" builtinId="8" hidden="1"/>
    <cellStyle name="ハイパーリンク" xfId="1157" builtinId="8" hidden="1"/>
    <cellStyle name="ハイパーリンク" xfId="1159" builtinId="8" hidden="1"/>
    <cellStyle name="ハイパーリンク" xfId="1161" builtinId="8" hidden="1"/>
    <cellStyle name="ハイパーリンク" xfId="1163" builtinId="8" hidden="1"/>
    <cellStyle name="ハイパーリンク" xfId="1165" builtinId="8" hidden="1"/>
    <cellStyle name="ハイパーリンク" xfId="1167" builtinId="8" hidden="1"/>
    <cellStyle name="ハイパーリンク" xfId="1169" builtinId="8" hidden="1"/>
    <cellStyle name="ハイパーリンク" xfId="1171" builtinId="8" hidden="1"/>
    <cellStyle name="ハイパーリンク" xfId="1173" builtinId="8" hidden="1"/>
    <cellStyle name="ハイパーリンク" xfId="1175" builtinId="8" hidden="1"/>
    <cellStyle name="ハイパーリンク" xfId="1177" builtinId="8" hidden="1"/>
    <cellStyle name="ハイパーリンク" xfId="1179" builtinId="8" hidden="1"/>
    <cellStyle name="ハイパーリンク" xfId="1181" builtinId="8" hidden="1"/>
    <cellStyle name="ハイパーリンク" xfId="1183" builtinId="8" hidden="1"/>
    <cellStyle name="ハイパーリンク" xfId="1185" builtinId="8" hidden="1"/>
    <cellStyle name="ハイパーリンク" xfId="1187" builtinId="8" hidden="1"/>
    <cellStyle name="ハイパーリンク" xfId="1189" builtinId="8" hidden="1"/>
    <cellStyle name="ハイパーリンク" xfId="1191" builtinId="8" hidden="1"/>
    <cellStyle name="ハイパーリンク" xfId="1193" builtinId="8" hidden="1"/>
    <cellStyle name="ハイパーリンク" xfId="1195" builtinId="8" hidden="1"/>
    <cellStyle name="ハイパーリンク" xfId="1197" builtinId="8" hidden="1"/>
    <cellStyle name="ハイパーリンク" xfId="1199" builtinId="8" hidden="1"/>
    <cellStyle name="ハイパーリンク" xfId="1201" builtinId="8" hidden="1"/>
    <cellStyle name="ハイパーリンク" xfId="1203" builtinId="8" hidden="1"/>
    <cellStyle name="ハイパーリンク" xfId="1205" builtinId="8" hidden="1"/>
    <cellStyle name="ハイパーリンク" xfId="1207" builtinId="8" hidden="1"/>
    <cellStyle name="ハイパーリンク" xfId="1209" builtinId="8" hidden="1"/>
    <cellStyle name="ハイパーリンク" xfId="1211" builtinId="8" hidden="1"/>
    <cellStyle name="ハイパーリンク" xfId="1213" builtinId="8" hidden="1"/>
    <cellStyle name="ハイパーリンク" xfId="1215" builtinId="8" hidden="1"/>
    <cellStyle name="ハイパーリンク" xfId="1217" builtinId="8" hidden="1"/>
    <cellStyle name="ハイパーリンク" xfId="1219" builtinId="8" hidden="1"/>
    <cellStyle name="ハイパーリンク" xfId="1221" builtinId="8" hidden="1"/>
    <cellStyle name="ハイパーリンク" xfId="1223" builtinId="8" hidden="1"/>
    <cellStyle name="ハイパーリンク" xfId="1225" builtinId="8" hidden="1"/>
    <cellStyle name="ハイパーリンク" xfId="1227" builtinId="8" hidden="1"/>
    <cellStyle name="ハイパーリンク" xfId="1229" builtinId="8" hidden="1"/>
    <cellStyle name="ハイパーリンク" xfId="1231" builtinId="8" hidden="1"/>
    <cellStyle name="ハイパーリンク" xfId="1233" builtinId="8" hidden="1"/>
    <cellStyle name="ハイパーリンク" xfId="1235" builtinId="8" hidden="1"/>
    <cellStyle name="ハイパーリンク" xfId="1237" builtinId="8" hidden="1"/>
    <cellStyle name="ハイパーリンク" xfId="1239" builtinId="8" hidden="1"/>
    <cellStyle name="ハイパーリンク" xfId="1241" builtinId="8" hidden="1"/>
    <cellStyle name="ハイパーリンク" xfId="1243" builtinId="8" hidden="1"/>
    <cellStyle name="ハイパーリンク" xfId="1245" builtinId="8" hidden="1"/>
    <cellStyle name="ハイパーリンク" xfId="1247" builtinId="8" hidden="1"/>
    <cellStyle name="ハイパーリンク" xfId="1249" builtinId="8" hidden="1"/>
    <cellStyle name="ハイパーリンク" xfId="1251" builtinId="8" hidden="1"/>
    <cellStyle name="ハイパーリンク" xfId="1253" builtinId="8" hidden="1"/>
    <cellStyle name="ハイパーリンク" xfId="1255" builtinId="8" hidden="1"/>
    <cellStyle name="ハイパーリンク" xfId="1257" builtinId="8" hidden="1"/>
    <cellStyle name="ハイパーリンク" xfId="1259" builtinId="8" hidden="1"/>
    <cellStyle name="ハイパーリンク" xfId="1261" builtinId="8" hidden="1"/>
    <cellStyle name="ハイパーリンク" xfId="1263" builtinId="8" hidden="1"/>
    <cellStyle name="ハイパーリンク" xfId="1265" builtinId="8" hidden="1"/>
    <cellStyle name="ハイパーリンク" xfId="1267" builtinId="8" hidden="1"/>
    <cellStyle name="ハイパーリンク" xfId="1269" builtinId="8" hidden="1"/>
    <cellStyle name="ハイパーリンク" xfId="1271" builtinId="8" hidden="1"/>
    <cellStyle name="ハイパーリンク" xfId="1273" builtinId="8" hidden="1"/>
    <cellStyle name="ハイパーリンク" xfId="1275" builtinId="8" hidden="1"/>
    <cellStyle name="ハイパーリンク" xfId="1277" builtinId="8" hidden="1"/>
    <cellStyle name="ハイパーリンク" xfId="1279" builtinId="8" hidden="1"/>
    <cellStyle name="ハイパーリンク" xfId="1281" builtinId="8" hidden="1"/>
    <cellStyle name="ハイパーリンク" xfId="1283" builtinId="8" hidden="1"/>
    <cellStyle name="ハイパーリンク" xfId="1285" builtinId="8" hidden="1"/>
    <cellStyle name="ハイパーリンク" xfId="1287" builtinId="8" hidden="1"/>
    <cellStyle name="ハイパーリンク" xfId="1289" builtinId="8" hidden="1"/>
    <cellStyle name="ハイパーリンク" xfId="1291" builtinId="8" hidden="1"/>
    <cellStyle name="ハイパーリンク" xfId="1293" builtinId="8" hidden="1"/>
    <cellStyle name="ハイパーリンク" xfId="1295" builtinId="8" hidden="1"/>
    <cellStyle name="ハイパーリンク" xfId="1297" builtinId="8" hidden="1"/>
    <cellStyle name="ハイパーリンク" xfId="1299" builtinId="8" hidden="1"/>
    <cellStyle name="ハイパーリンク" xfId="1301" builtinId="8" hidden="1"/>
    <cellStyle name="ハイパーリンク" xfId="1303" builtinId="8" hidden="1"/>
    <cellStyle name="ハイパーリンク" xfId="1305" builtinId="8" hidden="1"/>
    <cellStyle name="ハイパーリンク" xfId="1307" builtinId="8" hidden="1"/>
    <cellStyle name="ハイパーリンク" xfId="1309" builtinId="8" hidden="1"/>
    <cellStyle name="ハイパーリンク" xfId="1311" builtinId="8" hidden="1"/>
    <cellStyle name="ハイパーリンク" xfId="1313" builtinId="8" hidden="1"/>
    <cellStyle name="ハイパーリンク" xfId="1315" builtinId="8" hidden="1"/>
    <cellStyle name="ハイパーリンク" xfId="1317" builtinId="8" hidden="1"/>
    <cellStyle name="ハイパーリンク" xfId="1319" builtinId="8" hidden="1"/>
    <cellStyle name="ハイパーリンク" xfId="1321" builtinId="8" hidden="1"/>
    <cellStyle name="ハイパーリンク" xfId="1323" builtinId="8" hidden="1"/>
    <cellStyle name="ハイパーリンク" xfId="1325" builtinId="8" hidden="1"/>
    <cellStyle name="ハイパーリンク" xfId="1327" builtinId="8" hidden="1"/>
    <cellStyle name="ハイパーリンク" xfId="1329" builtinId="8" hidden="1"/>
    <cellStyle name="ハイパーリンク" xfId="1331" builtinId="8" hidden="1"/>
    <cellStyle name="ハイパーリンク" xfId="1333" builtinId="8" hidden="1"/>
    <cellStyle name="ハイパーリンク" xfId="1335" builtinId="8" hidden="1"/>
    <cellStyle name="ハイパーリンク" xfId="1337" builtinId="8" hidden="1"/>
    <cellStyle name="ハイパーリンク" xfId="1339" builtinId="8" hidden="1"/>
    <cellStyle name="ハイパーリンク" xfId="1341" builtinId="8" hidden="1"/>
    <cellStyle name="ハイパーリンク" xfId="1343" builtinId="8" hidden="1"/>
    <cellStyle name="ハイパーリンク" xfId="1345" builtinId="8" hidden="1"/>
    <cellStyle name="ハイパーリンク" xfId="1347" builtinId="8" hidden="1"/>
    <cellStyle name="ハイパーリンク" xfId="1349" builtinId="8" hidden="1"/>
    <cellStyle name="ハイパーリンク" xfId="1351" builtinId="8" hidden="1"/>
    <cellStyle name="ハイパーリンク" xfId="1353" builtinId="8" hidden="1"/>
    <cellStyle name="ハイパーリンク" xfId="1355" builtinId="8" hidden="1"/>
    <cellStyle name="ハイパーリンク" xfId="1357" builtinId="8" hidden="1"/>
    <cellStyle name="ハイパーリンク" xfId="1359" builtinId="8" hidden="1"/>
    <cellStyle name="ハイパーリンク" xfId="1361" builtinId="8" hidden="1"/>
    <cellStyle name="ハイパーリンク" xfId="1363" builtinId="8" hidden="1"/>
    <cellStyle name="ハイパーリンク" xfId="1365" builtinId="8" hidden="1"/>
    <cellStyle name="ハイパーリンク" xfId="1367" builtinId="8" hidden="1"/>
    <cellStyle name="ハイパーリンク" xfId="1369" builtinId="8" hidden="1"/>
    <cellStyle name="ハイパーリンク" xfId="1371" builtinId="8" hidden="1"/>
    <cellStyle name="ハイパーリンク" xfId="1373" builtinId="8" hidden="1"/>
    <cellStyle name="ハイパーリンク" xfId="1375" builtinId="8" hidden="1"/>
    <cellStyle name="ハイパーリンク" xfId="1377" builtinId="8" hidden="1"/>
    <cellStyle name="ハイパーリンク" xfId="1379" builtinId="8" hidden="1"/>
    <cellStyle name="ハイパーリンク" xfId="1381" builtinId="8" hidden="1"/>
    <cellStyle name="ハイパーリンク" xfId="1383" builtinId="8" hidden="1"/>
    <cellStyle name="ハイパーリンク" xfId="1385" builtinId="8" hidden="1"/>
    <cellStyle name="ハイパーリンク" xfId="1387" builtinId="8" hidden="1"/>
    <cellStyle name="ハイパーリンク" xfId="1389" builtinId="8" hidden="1"/>
    <cellStyle name="ハイパーリンク" xfId="1391" builtinId="8" hidden="1"/>
    <cellStyle name="ハイパーリンク" xfId="1393" builtinId="8" hidden="1"/>
    <cellStyle name="ハイパーリンク" xfId="1395" builtinId="8" hidden="1"/>
    <cellStyle name="ハイパーリンク" xfId="1397" builtinId="8" hidden="1"/>
    <cellStyle name="ハイパーリンク" xfId="1399" builtinId="8" hidden="1"/>
    <cellStyle name="ハイパーリンク" xfId="1401" builtinId="8" hidden="1"/>
    <cellStyle name="ハイパーリンク" xfId="1403" builtinId="8" hidden="1"/>
    <cellStyle name="ハイパーリンク" xfId="1405" builtinId="8" hidden="1"/>
    <cellStyle name="ハイパーリンク" xfId="1407" builtinId="8" hidden="1"/>
    <cellStyle name="ハイパーリンク" xfId="1409" builtinId="8" hidden="1"/>
    <cellStyle name="ハイパーリンク" xfId="1411" builtinId="8" hidden="1"/>
    <cellStyle name="ハイパーリンク" xfId="1413" builtinId="8" hidden="1"/>
    <cellStyle name="ハイパーリンク" xfId="1415" builtinId="8" hidden="1"/>
    <cellStyle name="ハイパーリンク" xfId="1417" builtinId="8" hidden="1"/>
    <cellStyle name="ハイパーリンク" xfId="1419" builtinId="8" hidden="1"/>
    <cellStyle name="ハイパーリンク" xfId="1421" builtinId="8" hidden="1"/>
    <cellStyle name="ハイパーリンク" xfId="1423" builtinId="8" hidden="1"/>
    <cellStyle name="ハイパーリンク" xfId="1425" builtinId="8" hidden="1"/>
    <cellStyle name="ハイパーリンク" xfId="1427" builtinId="8" hidden="1"/>
    <cellStyle name="ハイパーリンク" xfId="1429" builtinId="8" hidden="1"/>
    <cellStyle name="ハイパーリンク" xfId="1431" builtinId="8" hidden="1"/>
    <cellStyle name="ハイパーリンク" xfId="1433" builtinId="8" hidden="1"/>
    <cellStyle name="ハイパーリンク" xfId="1435" builtinId="8" hidden="1"/>
    <cellStyle name="ハイパーリンク" xfId="1437" builtinId="8" hidden="1"/>
    <cellStyle name="ハイパーリンク" xfId="1439" builtinId="8" hidden="1"/>
    <cellStyle name="ハイパーリンク" xfId="1441" builtinId="8" hidden="1"/>
    <cellStyle name="ハイパーリンク" xfId="1443" builtinId="8" hidden="1"/>
    <cellStyle name="ハイパーリンク" xfId="1445" builtinId="8" hidden="1"/>
    <cellStyle name="ハイパーリンク" xfId="1447" builtinId="8" hidden="1"/>
    <cellStyle name="ハイパーリンク" xfId="1449" builtinId="8" hidden="1"/>
    <cellStyle name="ハイパーリンク" xfId="1451" builtinId="8" hidden="1"/>
    <cellStyle name="ハイパーリンク" xfId="1453" builtinId="8" hidden="1"/>
    <cellStyle name="ハイパーリンク" xfId="1455" builtinId="8" hidden="1"/>
    <cellStyle name="ハイパーリンク" xfId="1457" builtinId="8" hidden="1"/>
    <cellStyle name="ハイパーリンク" xfId="1459" builtinId="8" hidden="1"/>
    <cellStyle name="ハイパーリンク" xfId="1461" builtinId="8" hidden="1"/>
    <cellStyle name="ハイパーリンク" xfId="1463" builtinId="8" hidden="1"/>
    <cellStyle name="ハイパーリンク" xfId="1465" builtinId="8" hidden="1"/>
    <cellStyle name="ハイパーリンク" xfId="1467" builtinId="8" hidden="1"/>
    <cellStyle name="ハイパーリンク" xfId="1469" builtinId="8" hidden="1"/>
    <cellStyle name="ハイパーリンク" xfId="1471" builtinId="8" hidden="1"/>
    <cellStyle name="ハイパーリンク" xfId="1473" builtinId="8" hidden="1"/>
    <cellStyle name="ハイパーリンク" xfId="1475" builtinId="8" hidden="1"/>
    <cellStyle name="ハイパーリンク" xfId="1477" builtinId="8" hidden="1"/>
    <cellStyle name="ハイパーリンク" xfId="1479" builtinId="8" hidden="1"/>
    <cellStyle name="ハイパーリンク" xfId="1481" builtinId="8" hidden="1"/>
    <cellStyle name="ハイパーリンク" xfId="1483" builtinId="8" hidden="1"/>
    <cellStyle name="ハイパーリンク" xfId="1485" builtinId="8" hidden="1"/>
    <cellStyle name="ハイパーリンク" xfId="1487" builtinId="8" hidden="1"/>
    <cellStyle name="ハイパーリンク" xfId="1489" builtinId="8" hidden="1"/>
    <cellStyle name="ハイパーリンク" xfId="1491" builtinId="8" hidden="1"/>
    <cellStyle name="ハイパーリンク" xfId="1493" builtinId="8" hidden="1"/>
    <cellStyle name="ハイパーリンク" xfId="1495" builtinId="8" hidden="1"/>
    <cellStyle name="ハイパーリンク" xfId="1497" builtinId="8" hidden="1"/>
    <cellStyle name="ハイパーリンク" xfId="1499" builtinId="8" hidden="1"/>
    <cellStyle name="ハイパーリンク" xfId="1501" builtinId="8" hidden="1"/>
    <cellStyle name="ハイパーリンク" xfId="1503" builtinId="8" hidden="1"/>
    <cellStyle name="ハイパーリンク" xfId="1505" builtinId="8" hidden="1"/>
    <cellStyle name="ハイパーリンク" xfId="1507" builtinId="8" hidden="1"/>
    <cellStyle name="ハイパーリンク" xfId="1509" builtinId="8" hidden="1"/>
    <cellStyle name="ハイパーリンク" xfId="1511" builtinId="8" hidden="1"/>
    <cellStyle name="ハイパーリンク" xfId="1513" builtinId="8" hidden="1"/>
    <cellStyle name="ハイパーリンク" xfId="1515" builtinId="8" hidden="1"/>
    <cellStyle name="ハイパーリンク" xfId="1517" builtinId="8" hidden="1"/>
    <cellStyle name="ハイパーリンク" xfId="1519" builtinId="8" hidden="1"/>
    <cellStyle name="ハイパーリンク" xfId="1521" builtinId="8" hidden="1"/>
    <cellStyle name="ハイパーリンク" xfId="1523" builtinId="8" hidden="1"/>
    <cellStyle name="ハイパーリンク" xfId="1525" builtinId="8" hidden="1"/>
    <cellStyle name="ハイパーリンク" xfId="1527" builtinId="8" hidden="1"/>
    <cellStyle name="ハイパーリンク" xfId="1529" builtinId="8" hidden="1"/>
    <cellStyle name="ハイパーリンク" xfId="1531" builtinId="8" hidden="1"/>
    <cellStyle name="ハイパーリンク" xfId="1533" builtinId="8" hidden="1"/>
    <cellStyle name="ハイパーリンク" xfId="1535" builtinId="8" hidden="1"/>
    <cellStyle name="ハイパーリンク" xfId="1537" builtinId="8" hidden="1"/>
    <cellStyle name="ハイパーリンク" xfId="1539" builtinId="8" hidden="1"/>
    <cellStyle name="ハイパーリンク" xfId="1541" builtinId="8" hidden="1"/>
    <cellStyle name="ハイパーリンク" xfId="1543" builtinId="8" hidden="1"/>
    <cellStyle name="ハイパーリンク" xfId="1545" builtinId="8" hidden="1"/>
    <cellStyle name="ハイパーリンク" xfId="1547" builtinId="8" hidden="1"/>
    <cellStyle name="ハイパーリンク" xfId="1549" builtinId="8" hidden="1"/>
    <cellStyle name="ハイパーリンク" xfId="1551" builtinId="8" hidden="1"/>
    <cellStyle name="ハイパーリンク" xfId="1553" builtinId="8" hidden="1"/>
    <cellStyle name="ハイパーリンク" xfId="1555" builtinId="8" hidden="1"/>
    <cellStyle name="ハイパーリンク" xfId="1557" builtinId="8" hidden="1"/>
    <cellStyle name="ハイパーリンク" xfId="1559" builtinId="8" hidden="1"/>
    <cellStyle name="ハイパーリンク" xfId="1561" builtinId="8" hidden="1"/>
    <cellStyle name="ハイパーリンク" xfId="1563" builtinId="8" hidden="1"/>
    <cellStyle name="ハイパーリンク" xfId="1565" builtinId="8" hidden="1"/>
    <cellStyle name="ハイパーリンク" xfId="1567" builtinId="8" hidden="1"/>
    <cellStyle name="ハイパーリンク" xfId="1569" builtinId="8" hidden="1"/>
    <cellStyle name="ハイパーリンク" xfId="1571" builtinId="8" hidden="1"/>
    <cellStyle name="ハイパーリンク" xfId="1573" builtinId="8" hidden="1"/>
    <cellStyle name="ハイパーリンク" xfId="1575" builtinId="8" hidden="1"/>
    <cellStyle name="ハイパーリンク" xfId="1577" builtinId="8" hidden="1"/>
    <cellStyle name="ハイパーリンク" xfId="1579" builtinId="8" hidden="1"/>
    <cellStyle name="ハイパーリンク" xfId="1581" builtinId="8" hidden="1"/>
    <cellStyle name="ハイパーリンク" xfId="1583" builtinId="8" hidden="1"/>
    <cellStyle name="ハイパーリンク" xfId="1585" builtinId="8" hidden="1"/>
    <cellStyle name="ハイパーリンク" xfId="1587" builtinId="8" hidden="1"/>
    <cellStyle name="ハイパーリンク" xfId="1589" builtinId="8" hidden="1"/>
    <cellStyle name="ハイパーリンク" xfId="1591" builtinId="8" hidden="1"/>
    <cellStyle name="ハイパーリンク" xfId="1593" builtinId="8" hidden="1"/>
    <cellStyle name="ハイパーリンク" xfId="1595" builtinId="8" hidden="1"/>
    <cellStyle name="ハイパーリンク" xfId="1597" builtinId="8" hidden="1"/>
    <cellStyle name="ハイパーリンク" xfId="1599" builtinId="8" hidden="1"/>
    <cellStyle name="ハイパーリンク" xfId="1601" builtinId="8" hidden="1"/>
    <cellStyle name="ハイパーリンク" xfId="1603" builtinId="8" hidden="1"/>
    <cellStyle name="ハイパーリンク" xfId="1605" builtinId="8" hidden="1"/>
    <cellStyle name="ハイパーリンク" xfId="1607" builtinId="8" hidden="1"/>
    <cellStyle name="ハイパーリンク" xfId="1609" builtinId="8" hidden="1"/>
    <cellStyle name="ハイパーリンク" xfId="1611" builtinId="8" hidden="1"/>
    <cellStyle name="ハイパーリンク" xfId="1613" builtinId="8" hidden="1"/>
    <cellStyle name="ハイパーリンク" xfId="1615" builtinId="8" hidden="1"/>
    <cellStyle name="ハイパーリンク" xfId="1617" builtinId="8" hidden="1"/>
    <cellStyle name="ハイパーリンク" xfId="1619" builtinId="8" hidden="1"/>
    <cellStyle name="ハイパーリンク" xfId="1621" builtinId="8" hidden="1"/>
    <cellStyle name="ハイパーリンク" xfId="1623" builtinId="8" hidden="1"/>
    <cellStyle name="ハイパーリンク" xfId="1625" builtinId="8" hidden="1"/>
    <cellStyle name="ハイパーリンク" xfId="1627" builtinId="8" hidden="1"/>
    <cellStyle name="ハイパーリンク" xfId="1629" builtinId="8" hidden="1"/>
    <cellStyle name="ハイパーリンク" xfId="1631" builtinId="8" hidden="1"/>
    <cellStyle name="ハイパーリンク" xfId="1633" builtinId="8" hidden="1"/>
    <cellStyle name="ハイパーリンク" xfId="1635" builtinId="8" hidden="1"/>
    <cellStyle name="ハイパーリンク" xfId="1637" builtinId="8" hidden="1"/>
    <cellStyle name="ハイパーリンク" xfId="1639" builtinId="8" hidden="1"/>
    <cellStyle name="ハイパーリンク" xfId="1641" builtinId="8" hidden="1"/>
    <cellStyle name="ハイパーリンク" xfId="1643" builtinId="8" hidden="1"/>
    <cellStyle name="ハイパーリンク" xfId="1645" builtinId="8" hidden="1"/>
    <cellStyle name="ハイパーリンク" xfId="1647" builtinId="8" hidden="1"/>
    <cellStyle name="ハイパーリンク" xfId="1649" builtinId="8" hidden="1"/>
    <cellStyle name="ハイパーリンク" xfId="1651" builtinId="8" hidden="1"/>
    <cellStyle name="ハイパーリンク" xfId="1653" builtinId="8" hidden="1"/>
    <cellStyle name="ハイパーリンク" xfId="1655" builtinId="8" hidden="1"/>
    <cellStyle name="ハイパーリンク" xfId="1657" builtinId="8" hidden="1"/>
    <cellStyle name="ハイパーリンク" xfId="1659" builtinId="8" hidden="1"/>
    <cellStyle name="ハイパーリンク" xfId="1661" builtinId="8" hidden="1"/>
    <cellStyle name="ハイパーリンク" xfId="1663" builtinId="8" hidden="1"/>
    <cellStyle name="ハイパーリンク" xfId="1665" builtinId="8" hidden="1"/>
    <cellStyle name="ハイパーリンク" xfId="1667" builtinId="8" hidden="1"/>
    <cellStyle name="ハイパーリンク" xfId="1669" builtinId="8" hidden="1"/>
    <cellStyle name="ハイパーリンク" xfId="1671" builtinId="8" hidden="1"/>
    <cellStyle name="ハイパーリンク" xfId="1673" builtinId="8" hidden="1"/>
    <cellStyle name="ハイパーリンク" xfId="1675" builtinId="8" hidden="1"/>
    <cellStyle name="ハイパーリンク" xfId="1677" builtinId="8" hidden="1"/>
    <cellStyle name="ハイパーリンク" xfId="1679" builtinId="8" hidden="1"/>
    <cellStyle name="ハイパーリンク" xfId="1681" builtinId="8" hidden="1"/>
    <cellStyle name="ハイパーリンク" xfId="1683" builtinId="8" hidden="1"/>
    <cellStyle name="ハイパーリンク" xfId="1685" builtinId="8" hidden="1"/>
    <cellStyle name="ハイパーリンク" xfId="1687" builtinId="8" hidden="1"/>
    <cellStyle name="ハイパーリンク" xfId="1689" builtinId="8" hidden="1"/>
    <cellStyle name="ハイパーリンク" xfId="1691" builtinId="8" hidden="1"/>
    <cellStyle name="ハイパーリンク" xfId="1693" builtinId="8" hidden="1"/>
    <cellStyle name="ハイパーリンク" xfId="1695" builtinId="8" hidden="1"/>
    <cellStyle name="ハイパーリンク" xfId="1697" builtinId="8" hidden="1"/>
    <cellStyle name="ハイパーリンク" xfId="1699" builtinId="8" hidden="1"/>
    <cellStyle name="ハイパーリンク" xfId="1701" builtinId="8" hidden="1"/>
    <cellStyle name="ハイパーリンク" xfId="1703" builtinId="8" hidden="1"/>
    <cellStyle name="ハイパーリンク" xfId="1705" builtinId="8" hidden="1"/>
    <cellStyle name="ハイパーリンク" xfId="1707" builtinId="8" hidden="1"/>
    <cellStyle name="ハイパーリンク" xfId="1709" builtinId="8" hidden="1"/>
    <cellStyle name="ハイパーリンク" xfId="1711" builtinId="8" hidden="1"/>
    <cellStyle name="ハイパーリンク" xfId="1713" builtinId="8" hidden="1"/>
    <cellStyle name="ハイパーリンク" xfId="1715" builtinId="8" hidden="1"/>
    <cellStyle name="ハイパーリンク" xfId="1717" builtinId="8" hidden="1"/>
    <cellStyle name="ハイパーリンク" xfId="1719" builtinId="8" hidden="1"/>
    <cellStyle name="ハイパーリンク" xfId="1721" builtinId="8" hidden="1"/>
    <cellStyle name="ハイパーリンク" xfId="1723" builtinId="8" hidden="1"/>
    <cellStyle name="ハイパーリンク" xfId="1725" builtinId="8" hidden="1"/>
    <cellStyle name="ハイパーリンク" xfId="1727" builtinId="8" hidden="1"/>
    <cellStyle name="ハイパーリンク" xfId="1729" builtinId="8" hidden="1"/>
    <cellStyle name="ハイパーリンク" xfId="1731" builtinId="8" hidden="1"/>
    <cellStyle name="ハイパーリンク" xfId="1733" builtinId="8" hidden="1"/>
    <cellStyle name="ハイパーリンク" xfId="1735" builtinId="8" hidden="1"/>
    <cellStyle name="ハイパーリンク" xfId="1737" builtinId="8" hidden="1"/>
    <cellStyle name="ハイパーリンク" xfId="1739" builtinId="8" hidden="1"/>
    <cellStyle name="ハイパーリンク" xfId="1741" builtinId="8" hidden="1"/>
    <cellStyle name="ハイパーリンク" xfId="1743" builtinId="8" hidden="1"/>
    <cellStyle name="ハイパーリンク" xfId="1745" builtinId="8" hidden="1"/>
    <cellStyle name="ハイパーリンク" xfId="1747" builtinId="8" hidden="1"/>
    <cellStyle name="ハイパーリンク" xfId="1749" builtinId="8" hidden="1"/>
    <cellStyle name="ハイパーリンク" xfId="1751" builtinId="8" hidden="1"/>
    <cellStyle name="ハイパーリンク" xfId="1753" builtinId="8" hidden="1"/>
    <cellStyle name="ハイパーリンク" xfId="1755" builtinId="8" hidden="1"/>
    <cellStyle name="ハイパーリンク" xfId="1757" builtinId="8" hidden="1"/>
    <cellStyle name="ハイパーリンク" xfId="1759" builtinId="8" hidden="1"/>
    <cellStyle name="ハイパーリンク" xfId="1761" builtinId="8" hidden="1"/>
    <cellStyle name="ハイパーリンク" xfId="1763" builtinId="8" hidden="1"/>
    <cellStyle name="ハイパーリンク" xfId="1765" builtinId="8" hidden="1"/>
    <cellStyle name="ハイパーリンク" xfId="1767" builtinId="8" hidden="1"/>
    <cellStyle name="ハイパーリンク" xfId="1769" builtinId="8" hidden="1"/>
    <cellStyle name="ハイパーリンク" xfId="1771" builtinId="8" hidden="1"/>
    <cellStyle name="ハイパーリンク" xfId="1773" builtinId="8" hidden="1"/>
    <cellStyle name="ハイパーリンク" xfId="1775" builtinId="8" hidden="1"/>
    <cellStyle name="ハイパーリンク" xfId="1777" builtinId="8" hidden="1"/>
    <cellStyle name="ハイパーリンク" xfId="1779" builtinId="8" hidden="1"/>
    <cellStyle name="ハイパーリンク" xfId="1781" builtinId="8" hidden="1"/>
    <cellStyle name="ハイパーリンク" xfId="1783" builtinId="8" hidden="1"/>
    <cellStyle name="ハイパーリンク" xfId="1785" builtinId="8" hidden="1"/>
    <cellStyle name="ハイパーリンク" xfId="1787" builtinId="8" hidden="1"/>
    <cellStyle name="ハイパーリンク" xfId="1789" builtinId="8" hidden="1"/>
    <cellStyle name="ハイパーリンク" xfId="1791" builtinId="8" hidden="1"/>
    <cellStyle name="ハイパーリンク" xfId="1793" builtinId="8" hidden="1"/>
    <cellStyle name="ハイパーリンク" xfId="1795" builtinId="8" hidden="1"/>
    <cellStyle name="ハイパーリンク" xfId="1797" builtinId="8" hidden="1"/>
    <cellStyle name="ハイパーリンク" xfId="1799" builtinId="8" hidden="1"/>
    <cellStyle name="ハイパーリンク" xfId="1801" builtinId="8" hidden="1"/>
    <cellStyle name="ハイパーリンク" xfId="1803" builtinId="8" hidden="1"/>
    <cellStyle name="ハイパーリンク" xfId="1805" builtinId="8" hidden="1"/>
    <cellStyle name="ハイパーリンク" xfId="1807" builtinId="8" hidden="1"/>
    <cellStyle name="ハイパーリンク" xfId="1809" builtinId="8" hidden="1"/>
    <cellStyle name="ハイパーリンク" xfId="1811" builtinId="8" hidden="1"/>
    <cellStyle name="ハイパーリンク" xfId="1813" builtinId="8" hidden="1"/>
    <cellStyle name="ハイパーリンク" xfId="1815" builtinId="8" hidden="1"/>
    <cellStyle name="ハイパーリンク" xfId="1817" builtinId="8" hidden="1"/>
    <cellStyle name="ハイパーリンク" xfId="1819" builtinId="8" hidden="1"/>
    <cellStyle name="ハイパーリンク" xfId="1821" builtinId="8" hidden="1"/>
    <cellStyle name="ハイパーリンク" xfId="1823" builtinId="8" hidden="1"/>
    <cellStyle name="ハイパーリンク" xfId="1825" builtinId="8" hidden="1"/>
    <cellStyle name="ハイパーリンク" xfId="1827" builtinId="8" hidden="1"/>
    <cellStyle name="ハイパーリンク" xfId="1829" builtinId="8" hidden="1"/>
    <cellStyle name="ハイパーリンク" xfId="1831" builtinId="8" hidden="1"/>
    <cellStyle name="ハイパーリンク" xfId="1833" builtinId="8" hidden="1"/>
    <cellStyle name="ハイパーリンク" xfId="1835" builtinId="8" hidden="1"/>
    <cellStyle name="ハイパーリンク" xfId="1837" builtinId="8" hidden="1"/>
    <cellStyle name="ハイパーリンク" xfId="1839" builtinId="8" hidden="1"/>
    <cellStyle name="ハイパーリンク" xfId="1841" builtinId="8" hidden="1"/>
    <cellStyle name="ハイパーリンク" xfId="1843" builtinId="8" hidden="1"/>
    <cellStyle name="ハイパーリンク" xfId="1845" builtinId="8" hidden="1"/>
    <cellStyle name="ハイパーリンク" xfId="1847" builtinId="8" hidden="1"/>
    <cellStyle name="ハイパーリンク" xfId="1849" builtinId="8" hidden="1"/>
    <cellStyle name="ハイパーリンク" xfId="1851" builtinId="8" hidden="1"/>
    <cellStyle name="ハイパーリンク" xfId="1853" builtinId="8" hidden="1"/>
    <cellStyle name="ハイパーリンク" xfId="1855" builtinId="8" hidden="1"/>
    <cellStyle name="ハイパーリンク" xfId="1857" builtinId="8" hidden="1"/>
    <cellStyle name="ハイパーリンク" xfId="1859" builtinId="8" hidden="1"/>
    <cellStyle name="ハイパーリンク" xfId="1861" builtinId="8" hidden="1"/>
    <cellStyle name="ハイパーリンク" xfId="1863" builtinId="8" hidden="1"/>
    <cellStyle name="ハイパーリンク" xfId="1865" builtinId="8" hidden="1"/>
    <cellStyle name="ハイパーリンク" xfId="1867" builtinId="8" hidden="1"/>
    <cellStyle name="ハイパーリンク" xfId="1869" builtinId="8" hidden="1"/>
    <cellStyle name="ハイパーリンク" xfId="1871" builtinId="8" hidden="1"/>
    <cellStyle name="ハイパーリンク" xfId="1873" builtinId="8" hidden="1"/>
    <cellStyle name="ハイパーリンク" xfId="1875" builtinId="8" hidden="1"/>
    <cellStyle name="ハイパーリンク" xfId="1877" builtinId="8" hidden="1"/>
    <cellStyle name="ハイパーリンク" xfId="1879" builtinId="8" hidden="1"/>
    <cellStyle name="ハイパーリンク" xfId="1881" builtinId="8" hidden="1"/>
    <cellStyle name="ハイパーリンク" xfId="1883" builtinId="8" hidden="1"/>
    <cellStyle name="ハイパーリンク" xfId="1885" builtinId="8" hidden="1"/>
    <cellStyle name="ハイパーリンク" xfId="1887" builtinId="8" hidden="1"/>
    <cellStyle name="ハイパーリンク" xfId="1889" builtinId="8" hidden="1"/>
    <cellStyle name="ハイパーリンク" xfId="1891" builtinId="8" hidden="1"/>
    <cellStyle name="ハイパーリンク" xfId="1893" builtinId="8" hidden="1"/>
    <cellStyle name="ハイパーリンク" xfId="1895" builtinId="8" hidden="1"/>
    <cellStyle name="ハイパーリンク" xfId="1897" builtinId="8" hidden="1"/>
    <cellStyle name="ハイパーリンク" xfId="1899" builtinId="8" hidden="1"/>
    <cellStyle name="ハイパーリンク" xfId="1901" builtinId="8" hidden="1"/>
    <cellStyle name="ハイパーリンク" xfId="1903" builtinId="8" hidden="1"/>
    <cellStyle name="ハイパーリンク" xfId="1905" builtinId="8" hidden="1"/>
    <cellStyle name="ハイパーリンク" xfId="1907" builtinId="8" hidden="1"/>
    <cellStyle name="ハイパーリンク" xfId="1909" builtinId="8" hidden="1"/>
    <cellStyle name="ハイパーリンク" xfId="1911" builtinId="8" hidden="1"/>
    <cellStyle name="ハイパーリンク" xfId="1913" builtinId="8" hidden="1"/>
    <cellStyle name="ハイパーリンク" xfId="1915" builtinId="8" hidden="1"/>
    <cellStyle name="ハイパーリンク" xfId="1917" builtinId="8" hidden="1"/>
    <cellStyle name="ハイパーリンク" xfId="1919" builtinId="8" hidden="1"/>
    <cellStyle name="ハイパーリンク" xfId="1921" builtinId="8" hidden="1"/>
    <cellStyle name="ハイパーリンク" xfId="1923" builtinId="8" hidden="1"/>
    <cellStyle name="ハイパーリンク" xfId="1925" builtinId="8" hidden="1"/>
    <cellStyle name="ハイパーリンク" xfId="1927" builtinId="8" hidden="1"/>
    <cellStyle name="ハイパーリンク" xfId="1929" builtinId="8" hidden="1"/>
    <cellStyle name="ハイパーリンク" xfId="1931" builtinId="8" hidden="1"/>
    <cellStyle name="ハイパーリンク" xfId="1933" builtinId="8" hidden="1"/>
    <cellStyle name="ハイパーリンク" xfId="1935" builtinId="8" hidden="1"/>
    <cellStyle name="ハイパーリンク" xfId="1937" builtinId="8" hidden="1"/>
    <cellStyle name="ハイパーリンク" xfId="1939" builtinId="8" hidden="1"/>
    <cellStyle name="ハイパーリンク" xfId="1941" builtinId="8" hidden="1"/>
    <cellStyle name="ハイパーリンク" xfId="1943" builtinId="8" hidden="1"/>
    <cellStyle name="ハイパーリンク" xfId="1945" builtinId="8" hidden="1"/>
    <cellStyle name="ハイパーリンク" xfId="1947" builtinId="8" hidden="1"/>
    <cellStyle name="ハイパーリンク" xfId="1949" builtinId="8" hidden="1"/>
    <cellStyle name="ハイパーリンク" xfId="1951" builtinId="8" hidden="1"/>
    <cellStyle name="ハイパーリンク" xfId="1953" builtinId="8" hidden="1"/>
    <cellStyle name="ハイパーリンク" xfId="1955" builtinId="8" hidden="1"/>
    <cellStyle name="ハイパーリンク" xfId="1957" builtinId="8" hidden="1"/>
    <cellStyle name="ハイパーリンク" xfId="1959" builtinId="8" hidden="1"/>
    <cellStyle name="ハイパーリンク" xfId="1961" builtinId="8" hidden="1"/>
    <cellStyle name="ハイパーリンク" xfId="1963" builtinId="8" hidden="1"/>
    <cellStyle name="ハイパーリンク" xfId="1965" builtinId="8" hidden="1"/>
    <cellStyle name="ハイパーリンク" xfId="1967" builtinId="8" hidden="1"/>
    <cellStyle name="ハイパーリンク" xfId="1969" builtinId="8" hidden="1"/>
    <cellStyle name="ハイパーリンク" xfId="1971" builtinId="8" hidden="1"/>
    <cellStyle name="ハイパーリンク" xfId="1973" builtinId="8" hidden="1"/>
    <cellStyle name="ハイパーリンク" xfId="1975" builtinId="8" hidden="1"/>
    <cellStyle name="ハイパーリンク" xfId="1977" builtinId="8" hidden="1"/>
    <cellStyle name="ハイパーリンク" xfId="1979" builtinId="8" hidden="1"/>
    <cellStyle name="ハイパーリンク" xfId="1981" builtinId="8" hidden="1"/>
    <cellStyle name="ハイパーリンク" xfId="1983" builtinId="8" hidden="1"/>
    <cellStyle name="ハイパーリンク" xfId="1985" builtinId="8" hidden="1"/>
    <cellStyle name="ハイパーリンク" xfId="1987" builtinId="8" hidden="1"/>
    <cellStyle name="ハイパーリンク" xfId="1989" builtinId="8" hidden="1"/>
    <cellStyle name="ハイパーリンク" xfId="1991" builtinId="8" hidden="1"/>
    <cellStyle name="ハイパーリンク" xfId="1993" builtinId="8" hidden="1"/>
    <cellStyle name="ハイパーリンク" xfId="1995" builtinId="8" hidden="1"/>
    <cellStyle name="ハイパーリンク" xfId="1997" builtinId="8" hidden="1"/>
    <cellStyle name="ハイパーリンク" xfId="1999" builtinId="8" hidden="1"/>
    <cellStyle name="ハイパーリンク" xfId="2001" builtinId="8" hidden="1"/>
    <cellStyle name="ハイパーリンク" xfId="2003" builtinId="8" hidden="1"/>
    <cellStyle name="ハイパーリンク" xfId="2005" builtinId="8" hidden="1"/>
    <cellStyle name="ハイパーリンク" xfId="2007" builtinId="8" hidden="1"/>
    <cellStyle name="ハイパーリンク" xfId="2009" builtinId="8" hidden="1"/>
    <cellStyle name="ハイパーリンク" xfId="2011" builtinId="8" hidden="1"/>
    <cellStyle name="ハイパーリンク" xfId="2013" builtinId="8" hidden="1"/>
    <cellStyle name="ハイパーリンク" xfId="2015" builtinId="8" hidden="1"/>
    <cellStyle name="ハイパーリンク" xfId="2017" builtinId="8" hidden="1"/>
    <cellStyle name="ハイパーリンク" xfId="2019" builtinId="8" hidden="1"/>
    <cellStyle name="ハイパーリンク" xfId="2021" builtinId="8" hidden="1"/>
    <cellStyle name="ハイパーリンク" xfId="2023" builtinId="8" hidden="1"/>
    <cellStyle name="ハイパーリンク" xfId="2025" builtinId="8" hidden="1"/>
    <cellStyle name="ハイパーリンク" xfId="2027" builtinId="8" hidden="1"/>
    <cellStyle name="ハイパーリンク" xfId="2029" builtinId="8" hidden="1"/>
    <cellStyle name="ハイパーリンク" xfId="2031" builtinId="8" hidden="1"/>
    <cellStyle name="ハイパーリンク" xfId="2033" builtinId="8" hidden="1"/>
    <cellStyle name="ハイパーリンク" xfId="2035" builtinId="8" hidden="1"/>
    <cellStyle name="ハイパーリンク" xfId="2037" builtinId="8" hidden="1"/>
    <cellStyle name="ハイパーリンク" xfId="2039" builtinId="8" hidden="1"/>
    <cellStyle name="ハイパーリンク" xfId="2041" builtinId="8" hidden="1"/>
    <cellStyle name="ハイパーリンク" xfId="2043" builtinId="8" hidden="1"/>
    <cellStyle name="ハイパーリンク" xfId="2045" builtinId="8" hidden="1"/>
    <cellStyle name="ハイパーリンク" xfId="2047" builtinId="8" hidden="1"/>
    <cellStyle name="ハイパーリンク" xfId="2049" builtinId="8" hidden="1"/>
    <cellStyle name="ハイパーリンク" xfId="2051" builtinId="8" hidden="1"/>
    <cellStyle name="ハイパーリンク" xfId="2053" builtinId="8" hidden="1"/>
    <cellStyle name="ハイパーリンク" xfId="2055" builtinId="8" hidden="1"/>
    <cellStyle name="ハイパーリンク" xfId="2057" builtinId="8" hidden="1"/>
    <cellStyle name="ハイパーリンク" xfId="2059" builtinId="8" hidden="1"/>
    <cellStyle name="ハイパーリンク" xfId="2061" builtinId="8" hidden="1"/>
    <cellStyle name="ハイパーリンク" xfId="2063" builtinId="8" hidden="1"/>
    <cellStyle name="ハイパーリンク" xfId="2065" builtinId="8" hidden="1"/>
    <cellStyle name="ハイパーリンク" xfId="2067" builtinId="8" hidden="1"/>
    <cellStyle name="ハイパーリンク" xfId="2069" builtinId="8" hidden="1"/>
    <cellStyle name="ハイパーリンク" xfId="2071" builtinId="8" hidden="1"/>
    <cellStyle name="ハイパーリンク" xfId="2073" builtinId="8" hidden="1"/>
    <cellStyle name="ハイパーリンク" xfId="2075" builtinId="8" hidden="1"/>
    <cellStyle name="ハイパーリンク" xfId="2077" builtinId="8" hidden="1"/>
    <cellStyle name="ハイパーリンク" xfId="2079" builtinId="8" hidden="1"/>
    <cellStyle name="ハイパーリンク" xfId="2081" builtinId="8" hidden="1"/>
    <cellStyle name="ハイパーリンク" xfId="2083" builtinId="8" hidden="1"/>
    <cellStyle name="ハイパーリンク" xfId="2085" builtinId="8" hidden="1"/>
    <cellStyle name="ハイパーリンク" xfId="2087" builtinId="8" hidden="1"/>
    <cellStyle name="ハイパーリンク" xfId="2089" builtinId="8" hidden="1"/>
    <cellStyle name="ハイパーリンク" xfId="2091" builtinId="8" hidden="1"/>
    <cellStyle name="ハイパーリンク" xfId="2093" builtinId="8" hidden="1"/>
    <cellStyle name="ハイパーリンク" xfId="2095" builtinId="8" hidden="1"/>
    <cellStyle name="ハイパーリンク" xfId="2097" builtinId="8" hidden="1"/>
    <cellStyle name="ハイパーリンク" xfId="2099" builtinId="8" hidden="1"/>
    <cellStyle name="ハイパーリンク" xfId="2101" builtinId="8" hidden="1"/>
    <cellStyle name="ハイパーリンク" xfId="2103" builtinId="8" hidden="1"/>
    <cellStyle name="ハイパーリンク" xfId="2105" builtinId="8" hidden="1"/>
    <cellStyle name="ハイパーリンク" xfId="2107" builtinId="8" hidden="1"/>
    <cellStyle name="ハイパーリンク" xfId="2109" builtinId="8" hidden="1"/>
    <cellStyle name="ハイパーリンク" xfId="2111" builtinId="8" hidden="1"/>
    <cellStyle name="ハイパーリンク" xfId="2113" builtinId="8" hidden="1"/>
    <cellStyle name="ハイパーリンク" xfId="2115" builtinId="8" hidden="1"/>
    <cellStyle name="ハイパーリンク" xfId="2117" builtinId="8" hidden="1"/>
    <cellStyle name="ハイパーリンク" xfId="2119" builtinId="8" hidden="1"/>
    <cellStyle name="ハイパーリンク" xfId="2121" builtinId="8" hidden="1"/>
    <cellStyle name="ハイパーリンク" xfId="2123" builtinId="8" hidden="1"/>
    <cellStyle name="ハイパーリンク" xfId="2125" builtinId="8" hidden="1"/>
    <cellStyle name="ハイパーリンク" xfId="2127" builtinId="8" hidden="1"/>
    <cellStyle name="ハイパーリンク" xfId="2129" builtinId="8" hidden="1"/>
    <cellStyle name="ハイパーリンク" xfId="2131" builtinId="8" hidden="1"/>
    <cellStyle name="ハイパーリンク" xfId="2133" builtinId="8" hidden="1"/>
    <cellStyle name="ハイパーリンク" xfId="2135" builtinId="8" hidden="1"/>
    <cellStyle name="ハイパーリンク" xfId="2137" builtinId="8" hidden="1"/>
    <cellStyle name="ハイパーリンク" xfId="2139" builtinId="8" hidden="1"/>
    <cellStyle name="ハイパーリンク" xfId="2141" builtinId="8" hidden="1"/>
    <cellStyle name="ハイパーリンク" xfId="2143" builtinId="8" hidden="1"/>
    <cellStyle name="ハイパーリンク" xfId="2145" builtinId="8" hidden="1"/>
    <cellStyle name="ハイパーリンク" xfId="2147" builtinId="8" hidden="1"/>
    <cellStyle name="ハイパーリンク" xfId="2149" builtinId="8" hidden="1"/>
    <cellStyle name="ハイパーリンク" xfId="2151" builtinId="8" hidden="1"/>
    <cellStyle name="ハイパーリンク" xfId="2153" builtinId="8" hidden="1"/>
    <cellStyle name="ハイパーリンク" xfId="2155" builtinId="8" hidden="1"/>
    <cellStyle name="ハイパーリンク" xfId="2157" builtinId="8" hidden="1"/>
    <cellStyle name="ハイパーリンク" xfId="2159" builtinId="8" hidden="1"/>
    <cellStyle name="ハイパーリンク" xfId="2161" builtinId="8" hidden="1"/>
    <cellStyle name="ハイパーリンク" xfId="2163" builtinId="8" hidden="1"/>
    <cellStyle name="ハイパーリンク" xfId="2165" builtinId="8" hidden="1"/>
    <cellStyle name="ハイパーリンク" xfId="2167" builtinId="8" hidden="1"/>
    <cellStyle name="ハイパーリンク" xfId="2169" builtinId="8" hidden="1"/>
    <cellStyle name="ハイパーリンク" xfId="2171" builtinId="8" hidden="1"/>
    <cellStyle name="ハイパーリンク" xfId="2173" builtinId="8" hidden="1"/>
    <cellStyle name="ハイパーリンク" xfId="2175" builtinId="8" hidden="1"/>
    <cellStyle name="ハイパーリンク" xfId="2177" builtinId="8" hidden="1"/>
    <cellStyle name="ハイパーリンク" xfId="2179" builtinId="8" hidden="1"/>
    <cellStyle name="ハイパーリンク" xfId="2181" builtinId="8" hidden="1"/>
    <cellStyle name="ハイパーリンク" xfId="2183" builtinId="8" hidden="1"/>
    <cellStyle name="ハイパーリンク" xfId="2185" builtinId="8" hidden="1"/>
    <cellStyle name="ハイパーリンク" xfId="2187" builtinId="8" hidden="1"/>
    <cellStyle name="ハイパーリンク" xfId="2189" builtinId="8" hidden="1"/>
    <cellStyle name="ハイパーリンク" xfId="2191" builtinId="8" hidden="1"/>
    <cellStyle name="ハイパーリンク" xfId="2193" builtinId="8" hidden="1"/>
    <cellStyle name="ハイパーリンク" xfId="2195" builtinId="8" hidden="1"/>
    <cellStyle name="ハイパーリンク" xfId="2197" builtinId="8" hidden="1"/>
    <cellStyle name="ハイパーリンク" xfId="2199" builtinId="8" hidden="1"/>
    <cellStyle name="ハイパーリンク" xfId="2201" builtinId="8" hidden="1"/>
    <cellStyle name="ハイパーリンク" xfId="2203" builtinId="8" hidden="1"/>
    <cellStyle name="ハイパーリンク" xfId="2205" builtinId="8" hidden="1"/>
    <cellStyle name="ハイパーリンク" xfId="2207" builtinId="8" hidden="1"/>
    <cellStyle name="ハイパーリンク" xfId="2209" builtinId="8" hidden="1"/>
    <cellStyle name="ハイパーリンク" xfId="2211" builtinId="8" hidden="1"/>
    <cellStyle name="ハイパーリンク" xfId="2213" builtinId="8" hidden="1"/>
    <cellStyle name="ハイパーリンク" xfId="2215" builtinId="8" hidden="1"/>
    <cellStyle name="ハイパーリンク" xfId="2217" builtinId="8" hidden="1"/>
    <cellStyle name="ハイパーリンク" xfId="2219" builtinId="8" hidden="1"/>
    <cellStyle name="ハイパーリンク" xfId="2221" builtinId="8" hidden="1"/>
    <cellStyle name="ハイパーリンク" xfId="2223" builtinId="8" hidden="1"/>
    <cellStyle name="ハイパーリンク" xfId="2225" builtinId="8" hidden="1"/>
    <cellStyle name="ハイパーリンク" xfId="2227" builtinId="8" hidden="1"/>
    <cellStyle name="ハイパーリンク" xfId="2229" builtinId="8" hidden="1"/>
    <cellStyle name="ハイパーリンク" xfId="2231" builtinId="8" hidden="1"/>
    <cellStyle name="ハイパーリンク" xfId="2233" builtinId="8" hidden="1"/>
    <cellStyle name="ハイパーリンク" xfId="2235" builtinId="8" hidden="1"/>
    <cellStyle name="ハイパーリンク" xfId="2237" builtinId="8" hidden="1"/>
    <cellStyle name="ハイパーリンク" xfId="2239" builtinId="8" hidden="1"/>
    <cellStyle name="ハイパーリンク" xfId="2241" builtinId="8" hidden="1"/>
    <cellStyle name="ハイパーリンク" xfId="2243" builtinId="8" hidden="1"/>
    <cellStyle name="ハイパーリンク" xfId="2245" builtinId="8" hidden="1"/>
    <cellStyle name="ハイパーリンク" xfId="2247" builtinId="8" hidden="1"/>
    <cellStyle name="ハイパーリンク" xfId="2249" builtinId="8" hidden="1"/>
    <cellStyle name="ハイパーリンク" xfId="2251" builtinId="8" hidden="1"/>
    <cellStyle name="ハイパーリンク" xfId="2253" builtinId="8" hidden="1"/>
    <cellStyle name="ハイパーリンク" xfId="2255" builtinId="8" hidden="1"/>
    <cellStyle name="ハイパーリンク" xfId="2257" builtinId="8" hidden="1"/>
    <cellStyle name="ハイパーリンク" xfId="2259" builtinId="8" hidden="1"/>
    <cellStyle name="ハイパーリンク" xfId="2261" builtinId="8" hidden="1"/>
    <cellStyle name="ハイパーリンク" xfId="2263" builtinId="8" hidden="1"/>
    <cellStyle name="ハイパーリンク" xfId="2265" builtinId="8" hidden="1"/>
    <cellStyle name="ハイパーリンク" xfId="2267" builtinId="8" hidden="1"/>
    <cellStyle name="ハイパーリンク" xfId="2269" builtinId="8" hidden="1"/>
    <cellStyle name="ハイパーリンク" xfId="2271" builtinId="8" hidden="1"/>
    <cellStyle name="ハイパーリンク" xfId="2273" builtinId="8" hidden="1"/>
    <cellStyle name="ハイパーリンク" xfId="2275" builtinId="8" hidden="1"/>
    <cellStyle name="ハイパーリンク" xfId="2277" builtinId="8" hidden="1"/>
    <cellStyle name="ハイパーリンク" xfId="2279" builtinId="8" hidden="1"/>
    <cellStyle name="ハイパーリンク" xfId="2281" builtinId="8" hidden="1"/>
    <cellStyle name="ハイパーリンク" xfId="2283" builtinId="8" hidden="1"/>
    <cellStyle name="ハイパーリンク" xfId="2285" builtinId="8" hidden="1"/>
    <cellStyle name="ハイパーリンク" xfId="2287" builtinId="8" hidden="1"/>
    <cellStyle name="ハイパーリンク" xfId="2289" builtinId="8" hidden="1"/>
    <cellStyle name="ハイパーリンク" xfId="2291" builtinId="8" hidden="1"/>
    <cellStyle name="ハイパーリンク" xfId="2293" builtinId="8" hidden="1"/>
    <cellStyle name="ハイパーリンク" xfId="2295" builtinId="8" hidden="1"/>
    <cellStyle name="ハイパーリンク" xfId="2297" builtinId="8" hidden="1"/>
    <cellStyle name="ハイパーリンク" xfId="2299" builtinId="8" hidden="1"/>
    <cellStyle name="ハイパーリンク" xfId="2301" builtinId="8" hidden="1"/>
    <cellStyle name="ハイパーリンク" xfId="2303" builtinId="8" hidden="1"/>
    <cellStyle name="ハイパーリンク" xfId="2305" builtinId="8" hidden="1"/>
    <cellStyle name="ハイパーリンク" xfId="2307" builtinId="8" hidden="1"/>
    <cellStyle name="ハイパーリンク" xfId="2309" builtinId="8" hidden="1"/>
    <cellStyle name="ハイパーリンク" xfId="2311" builtinId="8" hidden="1"/>
    <cellStyle name="ハイパーリンク" xfId="2313" builtinId="8" hidden="1"/>
    <cellStyle name="ハイパーリンク" xfId="2315" builtinId="8" hidden="1"/>
    <cellStyle name="ハイパーリンク" xfId="2317" builtinId="8" hidden="1"/>
    <cellStyle name="ハイパーリンク" xfId="2319" builtinId="8" hidden="1"/>
    <cellStyle name="ハイパーリンク" xfId="2321" builtinId="8" hidden="1"/>
    <cellStyle name="ハイパーリンク" xfId="2323" builtinId="8" hidden="1"/>
    <cellStyle name="ハイパーリンク" xfId="2325" builtinId="8" hidden="1"/>
    <cellStyle name="ハイパーリンク" xfId="2327" builtinId="8" hidden="1"/>
    <cellStyle name="ハイパーリンク" xfId="2329" builtinId="8" hidden="1"/>
    <cellStyle name="ハイパーリンク" xfId="2331" builtinId="8" hidden="1"/>
    <cellStyle name="ハイパーリンク" xfId="2333" builtinId="8" hidden="1"/>
    <cellStyle name="ハイパーリンク" xfId="2335" builtinId="8" hidden="1"/>
    <cellStyle name="ハイパーリンク" xfId="2337" builtinId="8" hidden="1"/>
    <cellStyle name="ハイパーリンク" xfId="2339" builtinId="8" hidden="1"/>
    <cellStyle name="ハイパーリンク" xfId="2341" builtinId="8" hidden="1"/>
    <cellStyle name="ハイパーリンク" xfId="2343" builtinId="8" hidden="1"/>
    <cellStyle name="ハイパーリンク" xfId="2345" builtinId="8" hidden="1"/>
    <cellStyle name="ハイパーリンク" xfId="2347" builtinId="8" hidden="1"/>
    <cellStyle name="ハイパーリンク" xfId="2349" builtinId="8" hidden="1"/>
    <cellStyle name="ハイパーリンク" xfId="2351" builtinId="8" hidden="1"/>
    <cellStyle name="ハイパーリンク" xfId="2353" builtinId="8" hidden="1"/>
    <cellStyle name="ハイパーリンク" xfId="2355" builtinId="8" hidden="1"/>
    <cellStyle name="ハイパーリンク" xfId="2357" builtinId="8" hidden="1"/>
    <cellStyle name="ハイパーリンク" xfId="2359" builtinId="8" hidden="1"/>
    <cellStyle name="ハイパーリンク" xfId="2361" builtinId="8" hidden="1"/>
    <cellStyle name="ハイパーリンク" xfId="2363" builtinId="8" hidden="1"/>
    <cellStyle name="ハイパーリンク" xfId="2365" builtinId="8" hidden="1"/>
    <cellStyle name="ハイパーリンク" xfId="2367" builtinId="8" hidden="1"/>
    <cellStyle name="ハイパーリンク" xfId="2369" builtinId="8" hidden="1"/>
    <cellStyle name="ハイパーリンク" xfId="2371" builtinId="8" hidden="1"/>
    <cellStyle name="ハイパーリンク" xfId="2373" builtinId="8" hidden="1"/>
    <cellStyle name="ハイパーリンク" xfId="2375" builtinId="8" hidden="1"/>
    <cellStyle name="ハイパーリンク" xfId="2377" builtinId="8" hidden="1"/>
    <cellStyle name="ハイパーリンク" xfId="2379" builtinId="8" hidden="1"/>
    <cellStyle name="ハイパーリンク" xfId="2381" builtinId="8" hidden="1"/>
    <cellStyle name="ハイパーリンク" xfId="2383" builtinId="8" hidden="1"/>
    <cellStyle name="ハイパーリンク" xfId="2385" builtinId="8" hidden="1"/>
    <cellStyle name="ハイパーリンク" xfId="2387" builtinId="8" hidden="1"/>
    <cellStyle name="ハイパーリンク" xfId="2389" builtinId="8" hidden="1"/>
    <cellStyle name="ハイパーリンク" xfId="2391" builtinId="8" hidden="1"/>
    <cellStyle name="ハイパーリンク" xfId="2393" builtinId="8" hidden="1"/>
    <cellStyle name="ハイパーリンク" xfId="2395" builtinId="8" hidden="1"/>
    <cellStyle name="ハイパーリンク" xfId="2397" builtinId="8" hidden="1"/>
    <cellStyle name="ハイパーリンク" xfId="2399" builtinId="8" hidden="1"/>
    <cellStyle name="ハイパーリンク" xfId="2401" builtinId="8" hidden="1"/>
    <cellStyle name="ハイパーリンク" xfId="2403" builtinId="8" hidden="1"/>
    <cellStyle name="ハイパーリンク" xfId="2405" builtinId="8" hidden="1"/>
    <cellStyle name="ハイパーリンク" xfId="2407" builtinId="8" hidden="1"/>
    <cellStyle name="ハイパーリンク" xfId="2409" builtinId="8" hidden="1"/>
    <cellStyle name="ハイパーリンク" xfId="2411" builtinId="8" hidden="1"/>
    <cellStyle name="ハイパーリンク" xfId="2413" builtinId="8" hidden="1"/>
    <cellStyle name="ハイパーリンク" xfId="2415" builtinId="8" hidden="1"/>
    <cellStyle name="ハイパーリンク" xfId="2417" builtinId="8" hidden="1"/>
    <cellStyle name="ハイパーリンク" xfId="2419" builtinId="8" hidden="1"/>
    <cellStyle name="ハイパーリンク" xfId="2421" builtinId="8" hidden="1"/>
    <cellStyle name="ハイパーリンク" xfId="2423" builtinId="8" hidden="1"/>
    <cellStyle name="ハイパーリンク" xfId="2425" builtinId="8" hidden="1"/>
    <cellStyle name="ハイパーリンク" xfId="2427" builtinId="8" hidden="1"/>
    <cellStyle name="ハイパーリンク" xfId="2429" builtinId="8" hidden="1"/>
    <cellStyle name="ハイパーリンク" xfId="2431" builtinId="8" hidden="1"/>
    <cellStyle name="ハイパーリンク" xfId="2433" builtinId="8" hidden="1"/>
    <cellStyle name="ハイパーリンク" xfId="2435" builtinId="8" hidden="1"/>
    <cellStyle name="ハイパーリンク" xfId="2437" builtinId="8" hidden="1"/>
    <cellStyle name="ハイパーリンク" xfId="2439" builtinId="8" hidden="1"/>
    <cellStyle name="ハイパーリンク" xfId="2441" builtinId="8" hidden="1"/>
    <cellStyle name="ハイパーリンク" xfId="2443" builtinId="8" hidden="1"/>
    <cellStyle name="ハイパーリンク" xfId="2445" builtinId="8" hidden="1"/>
    <cellStyle name="ハイパーリンク" xfId="2447" builtinId="8" hidden="1"/>
    <cellStyle name="ハイパーリンク" xfId="2449" builtinId="8" hidden="1"/>
    <cellStyle name="ハイパーリンク" xfId="2451" builtinId="8" hidden="1"/>
    <cellStyle name="ハイパーリンク" xfId="2453" builtinId="8" hidden="1"/>
    <cellStyle name="ハイパーリンク" xfId="2455" builtinId="8" hidden="1"/>
    <cellStyle name="ハイパーリンク" xfId="2457" builtinId="8" hidden="1"/>
    <cellStyle name="ハイパーリンク" xfId="2459" builtinId="8" hidden="1"/>
    <cellStyle name="ハイパーリンク" xfId="2461" builtinId="8" hidden="1"/>
    <cellStyle name="ハイパーリンク" xfId="2463" builtinId="8" hidden="1"/>
    <cellStyle name="ハイパーリンク" xfId="2465" builtinId="8" hidden="1"/>
    <cellStyle name="ハイパーリンク" xfId="2467" builtinId="8" hidden="1"/>
    <cellStyle name="ハイパーリンク" xfId="2469" builtinId="8" hidden="1"/>
    <cellStyle name="ハイパーリンク" xfId="2471" builtinId="8" hidden="1"/>
    <cellStyle name="ハイパーリンク" xfId="2473" builtinId="8" hidden="1"/>
    <cellStyle name="ハイパーリンク" xfId="2475" builtinId="8" hidden="1"/>
    <cellStyle name="ハイパーリンク" xfId="2477" builtinId="8" hidden="1"/>
    <cellStyle name="ハイパーリンク" xfId="2479" builtinId="8" hidden="1"/>
    <cellStyle name="ハイパーリンク" xfId="2481" builtinId="8" hidden="1"/>
    <cellStyle name="ハイパーリンク" xfId="2483" builtinId="8" hidden="1"/>
    <cellStyle name="ハイパーリンク" xfId="2485" builtinId="8" hidden="1"/>
    <cellStyle name="ハイパーリンク" xfId="2487" builtinId="8" hidden="1"/>
    <cellStyle name="ハイパーリンク" xfId="2489" builtinId="8" hidden="1"/>
    <cellStyle name="ハイパーリンク" xfId="2491" builtinId="8" hidden="1"/>
    <cellStyle name="ハイパーリンク" xfId="2493" builtinId="8" hidden="1"/>
    <cellStyle name="ハイパーリンク" xfId="2495" builtinId="8" hidden="1"/>
    <cellStyle name="ハイパーリンク" xfId="2497" builtinId="8" hidden="1"/>
    <cellStyle name="ハイパーリンク" xfId="2499" builtinId="8" hidden="1"/>
    <cellStyle name="ハイパーリンク" xfId="2501" builtinId="8" hidden="1"/>
    <cellStyle name="ハイパーリンク" xfId="2503" builtinId="8" hidden="1"/>
    <cellStyle name="ハイパーリンク" xfId="2505" builtinId="8" hidden="1"/>
    <cellStyle name="ハイパーリンク" xfId="2507" builtinId="8" hidden="1"/>
    <cellStyle name="ハイパーリンク" xfId="2509" builtinId="8" hidden="1"/>
    <cellStyle name="ハイパーリンク" xfId="2511" builtinId="8" hidden="1"/>
    <cellStyle name="ハイパーリンク" xfId="2513" builtinId="8" hidden="1"/>
    <cellStyle name="ハイパーリンク" xfId="2515" builtinId="8" hidden="1"/>
    <cellStyle name="ハイパーリンク" xfId="2517" builtinId="8" hidden="1"/>
    <cellStyle name="ハイパーリンク" xfId="2519" builtinId="8" hidden="1"/>
    <cellStyle name="ハイパーリンク" xfId="2521" builtinId="8" hidden="1"/>
    <cellStyle name="ハイパーリンク" xfId="2523" builtinId="8" hidden="1"/>
    <cellStyle name="ハイパーリンク" xfId="2525" builtinId="8" hidden="1"/>
    <cellStyle name="ハイパーリンク" xfId="2527" builtinId="8" hidden="1"/>
    <cellStyle name="ハイパーリンク" xfId="2529" builtinId="8" hidden="1"/>
    <cellStyle name="ハイパーリンク" xfId="2531" builtinId="8" hidden="1"/>
    <cellStyle name="ハイパーリンク" xfId="2533" builtinId="8" hidden="1"/>
    <cellStyle name="ハイパーリンク" xfId="2535" builtinId="8" hidden="1"/>
    <cellStyle name="ハイパーリンク" xfId="2537" builtinId="8" hidden="1"/>
    <cellStyle name="ハイパーリンク" xfId="2539" builtinId="8" hidden="1"/>
    <cellStyle name="ハイパーリンク" xfId="2541" builtinId="8" hidden="1"/>
    <cellStyle name="ハイパーリンク" xfId="2543" builtinId="8" hidden="1"/>
    <cellStyle name="ハイパーリンク" xfId="2545" builtinId="8" hidden="1"/>
    <cellStyle name="ハイパーリンク" xfId="2547" builtinId="8" hidden="1"/>
    <cellStyle name="ハイパーリンク" xfId="2549" builtinId="8" hidden="1"/>
    <cellStyle name="ハイパーリンク" xfId="2551" builtinId="8" hidden="1"/>
    <cellStyle name="ハイパーリンク" xfId="2553" builtinId="8" hidden="1"/>
    <cellStyle name="ハイパーリンク" xfId="2555" builtinId="8" hidden="1"/>
    <cellStyle name="ハイパーリンク" xfId="2557" builtinId="8" hidden="1"/>
    <cellStyle name="ハイパーリンク" xfId="2559" builtinId="8" hidden="1"/>
    <cellStyle name="ハイパーリンク" xfId="2561" builtinId="8" hidden="1"/>
    <cellStyle name="ハイパーリンク" xfId="2563" builtinId="8" hidden="1"/>
    <cellStyle name="ハイパーリンク" xfId="2565" builtinId="8" hidden="1"/>
    <cellStyle name="ハイパーリンク" xfId="2567" builtinId="8" hidden="1"/>
    <cellStyle name="ハイパーリンク" xfId="2569" builtinId="8" hidden="1"/>
    <cellStyle name="ハイパーリンク" xfId="2571" builtinId="8" hidden="1"/>
    <cellStyle name="ハイパーリンク" xfId="2573" builtinId="8" hidden="1"/>
    <cellStyle name="ハイパーリンク" xfId="2575" builtinId="8" hidden="1"/>
    <cellStyle name="ハイパーリンク" xfId="2577" builtinId="8" hidden="1"/>
    <cellStyle name="ハイパーリンク" xfId="2579" builtinId="8" hidden="1"/>
    <cellStyle name="ハイパーリンク" xfId="2581" builtinId="8" hidden="1"/>
    <cellStyle name="ハイパーリンク" xfId="258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8" builtinId="9" hidden="1"/>
    <cellStyle name="表示済みのハイパーリンク" xfId="690" builtinId="9" hidden="1"/>
    <cellStyle name="表示済みのハイパーリンク" xfId="692" builtinId="9" hidden="1"/>
    <cellStyle name="表示済みのハイパーリンク" xfId="694" builtinId="9" hidden="1"/>
    <cellStyle name="表示済みのハイパーリンク" xfId="696" builtinId="9" hidden="1"/>
    <cellStyle name="表示済みのハイパーリンク" xfId="698" builtinId="9" hidden="1"/>
    <cellStyle name="表示済みのハイパーリンク" xfId="700" builtinId="9" hidden="1"/>
    <cellStyle name="表示済みのハイパーリンク" xfId="702" builtinId="9" hidden="1"/>
    <cellStyle name="表示済みのハイパーリンク" xfId="704" builtinId="9" hidden="1"/>
    <cellStyle name="表示済みのハイパーリンク" xfId="706" builtinId="9" hidden="1"/>
    <cellStyle name="表示済みのハイパーリンク" xfId="708" builtinId="9" hidden="1"/>
    <cellStyle name="表示済みのハイパーリンク" xfId="710" builtinId="9" hidden="1"/>
    <cellStyle name="表示済みのハイパーリンク" xfId="712" builtinId="9" hidden="1"/>
    <cellStyle name="表示済みのハイパーリンク" xfId="714" builtinId="9" hidden="1"/>
    <cellStyle name="表示済みのハイパーリンク" xfId="716" builtinId="9" hidden="1"/>
    <cellStyle name="表示済みのハイパーリンク" xfId="718" builtinId="9" hidden="1"/>
    <cellStyle name="表示済みのハイパーリンク" xfId="720" builtinId="9" hidden="1"/>
    <cellStyle name="表示済みのハイパーリンク" xfId="722" builtinId="9" hidden="1"/>
    <cellStyle name="表示済みのハイパーリンク" xfId="724" builtinId="9" hidden="1"/>
    <cellStyle name="表示済みのハイパーリンク" xfId="726" builtinId="9" hidden="1"/>
    <cellStyle name="表示済みのハイパーリンク" xfId="728" builtinId="9" hidden="1"/>
    <cellStyle name="表示済みのハイパーリンク" xfId="730" builtinId="9" hidden="1"/>
    <cellStyle name="表示済みのハイパーリンク" xfId="732" builtinId="9" hidden="1"/>
    <cellStyle name="表示済みのハイパーリンク" xfId="734" builtinId="9" hidden="1"/>
    <cellStyle name="表示済みのハイパーリンク" xfId="736" builtinId="9" hidden="1"/>
    <cellStyle name="表示済みのハイパーリンク" xfId="738" builtinId="9" hidden="1"/>
    <cellStyle name="表示済みのハイパーリンク" xfId="740" builtinId="9" hidden="1"/>
    <cellStyle name="表示済みのハイパーリンク" xfId="742" builtinId="9" hidden="1"/>
    <cellStyle name="表示済みのハイパーリンク" xfId="744" builtinId="9" hidden="1"/>
    <cellStyle name="表示済みのハイパーリンク" xfId="746" builtinId="9" hidden="1"/>
    <cellStyle name="表示済みのハイパーリンク" xfId="748" builtinId="9" hidden="1"/>
    <cellStyle name="表示済みのハイパーリンク" xfId="750" builtinId="9" hidden="1"/>
    <cellStyle name="表示済みのハイパーリンク" xfId="752" builtinId="9" hidden="1"/>
    <cellStyle name="表示済みのハイパーリンク" xfId="754" builtinId="9" hidden="1"/>
    <cellStyle name="表示済みのハイパーリンク" xfId="756" builtinId="9" hidden="1"/>
    <cellStyle name="表示済みのハイパーリンク" xfId="758" builtinId="9" hidden="1"/>
    <cellStyle name="表示済みのハイパーリンク" xfId="760" builtinId="9" hidden="1"/>
    <cellStyle name="表示済みのハイパーリンク" xfId="762" builtinId="9" hidden="1"/>
    <cellStyle name="表示済みのハイパーリンク" xfId="764" builtinId="9" hidden="1"/>
    <cellStyle name="表示済みのハイパーリンク" xfId="766" builtinId="9" hidden="1"/>
    <cellStyle name="表示済みのハイパーリンク" xfId="768" builtinId="9" hidden="1"/>
    <cellStyle name="表示済みのハイパーリンク" xfId="770" builtinId="9" hidden="1"/>
    <cellStyle name="表示済みのハイパーリンク" xfId="772" builtinId="9" hidden="1"/>
    <cellStyle name="表示済みのハイパーリンク" xfId="774" builtinId="9" hidden="1"/>
    <cellStyle name="表示済みのハイパーリンク" xfId="776" builtinId="9" hidden="1"/>
    <cellStyle name="表示済みのハイパーリンク" xfId="778" builtinId="9" hidden="1"/>
    <cellStyle name="表示済みのハイパーリンク" xfId="780" builtinId="9" hidden="1"/>
    <cellStyle name="表示済みのハイパーリンク" xfId="782" builtinId="9" hidden="1"/>
    <cellStyle name="表示済みのハイパーリンク" xfId="784" builtinId="9" hidden="1"/>
    <cellStyle name="表示済みのハイパーリンク" xfId="786" builtinId="9" hidden="1"/>
    <cellStyle name="表示済みのハイパーリンク" xfId="788" builtinId="9" hidden="1"/>
    <cellStyle name="表示済みのハイパーリンク" xfId="790" builtinId="9" hidden="1"/>
    <cellStyle name="表示済みのハイパーリンク" xfId="792" builtinId="9" hidden="1"/>
    <cellStyle name="表示済みのハイパーリンク" xfId="794" builtinId="9" hidden="1"/>
    <cellStyle name="表示済みのハイパーリンク" xfId="796" builtinId="9" hidden="1"/>
    <cellStyle name="表示済みのハイパーリンク" xfId="798" builtinId="9" hidden="1"/>
    <cellStyle name="表示済みのハイパーリンク" xfId="800" builtinId="9" hidden="1"/>
    <cellStyle name="表示済みのハイパーリンク" xfId="802" builtinId="9" hidden="1"/>
    <cellStyle name="表示済みのハイパーリンク" xfId="804" builtinId="9" hidden="1"/>
    <cellStyle name="表示済みのハイパーリンク" xfId="806" builtinId="9" hidden="1"/>
    <cellStyle name="表示済みのハイパーリンク" xfId="808" builtinId="9" hidden="1"/>
    <cellStyle name="表示済みのハイパーリンク" xfId="810" builtinId="9" hidden="1"/>
    <cellStyle name="表示済みのハイパーリンク" xfId="812" builtinId="9" hidden="1"/>
    <cellStyle name="表示済みのハイパーリンク" xfId="814" builtinId="9" hidden="1"/>
    <cellStyle name="表示済みのハイパーリンク" xfId="816" builtinId="9" hidden="1"/>
    <cellStyle name="表示済みのハイパーリンク" xfId="818" builtinId="9" hidden="1"/>
    <cellStyle name="表示済みのハイパーリンク" xfId="820" builtinId="9" hidden="1"/>
    <cellStyle name="表示済みのハイパーリンク" xfId="822" builtinId="9" hidden="1"/>
    <cellStyle name="表示済みのハイパーリンク" xfId="824" builtinId="9" hidden="1"/>
    <cellStyle name="表示済みのハイパーリンク" xfId="826" builtinId="9" hidden="1"/>
    <cellStyle name="表示済みのハイパーリンク" xfId="828" builtinId="9" hidden="1"/>
    <cellStyle name="表示済みのハイパーリンク" xfId="830" builtinId="9" hidden="1"/>
    <cellStyle name="表示済みのハイパーリンク" xfId="832" builtinId="9" hidden="1"/>
    <cellStyle name="表示済みのハイパーリンク" xfId="834" builtinId="9" hidden="1"/>
    <cellStyle name="表示済みのハイパーリンク" xfId="836" builtinId="9" hidden="1"/>
    <cellStyle name="表示済みのハイパーリンク" xfId="838" builtinId="9" hidden="1"/>
    <cellStyle name="表示済みのハイパーリンク" xfId="840" builtinId="9" hidden="1"/>
    <cellStyle name="表示済みのハイパーリンク" xfId="842" builtinId="9" hidden="1"/>
    <cellStyle name="表示済みのハイパーリンク" xfId="844" builtinId="9" hidden="1"/>
    <cellStyle name="表示済みのハイパーリンク" xfId="846" builtinId="9" hidden="1"/>
    <cellStyle name="表示済みのハイパーリンク" xfId="848" builtinId="9" hidden="1"/>
    <cellStyle name="表示済みのハイパーリンク" xfId="850" builtinId="9" hidden="1"/>
    <cellStyle name="表示済みのハイパーリンク" xfId="852" builtinId="9" hidden="1"/>
    <cellStyle name="表示済みのハイパーリンク" xfId="854" builtinId="9" hidden="1"/>
    <cellStyle name="表示済みのハイパーリンク" xfId="856" builtinId="9" hidden="1"/>
    <cellStyle name="表示済みのハイパーリンク" xfId="858" builtinId="9" hidden="1"/>
    <cellStyle name="表示済みのハイパーリンク" xfId="860" builtinId="9" hidden="1"/>
    <cellStyle name="表示済みのハイパーリンク" xfId="862" builtinId="9" hidden="1"/>
    <cellStyle name="表示済みのハイパーリンク" xfId="864" builtinId="9" hidden="1"/>
    <cellStyle name="表示済みのハイパーリンク" xfId="866" builtinId="9" hidden="1"/>
    <cellStyle name="表示済みのハイパーリンク" xfId="868" builtinId="9" hidden="1"/>
    <cellStyle name="表示済みのハイパーリンク" xfId="870" builtinId="9" hidden="1"/>
    <cellStyle name="表示済みのハイパーリンク" xfId="872" builtinId="9" hidden="1"/>
    <cellStyle name="表示済みのハイパーリンク" xfId="874" builtinId="9" hidden="1"/>
    <cellStyle name="表示済みのハイパーリンク" xfId="876" builtinId="9" hidden="1"/>
    <cellStyle name="表示済みのハイパーリンク" xfId="878" builtinId="9" hidden="1"/>
    <cellStyle name="表示済みのハイパーリンク" xfId="880" builtinId="9" hidden="1"/>
    <cellStyle name="表示済みのハイパーリンク" xfId="882" builtinId="9" hidden="1"/>
    <cellStyle name="表示済みのハイパーリンク" xfId="884" builtinId="9" hidden="1"/>
    <cellStyle name="表示済みのハイパーリンク" xfId="886" builtinId="9" hidden="1"/>
    <cellStyle name="表示済みのハイパーリンク" xfId="888" builtinId="9" hidden="1"/>
    <cellStyle name="表示済みのハイパーリンク" xfId="890" builtinId="9" hidden="1"/>
    <cellStyle name="表示済みのハイパーリンク" xfId="892" builtinId="9" hidden="1"/>
    <cellStyle name="表示済みのハイパーリンク" xfId="894" builtinId="9" hidden="1"/>
    <cellStyle name="表示済みのハイパーリンク" xfId="896" builtinId="9" hidden="1"/>
    <cellStyle name="表示済みのハイパーリンク" xfId="898" builtinId="9" hidden="1"/>
    <cellStyle name="表示済みのハイパーリンク" xfId="900" builtinId="9" hidden="1"/>
    <cellStyle name="表示済みのハイパーリンク" xfId="902" builtinId="9" hidden="1"/>
    <cellStyle name="表示済みのハイパーリンク" xfId="904" builtinId="9" hidden="1"/>
    <cellStyle name="表示済みのハイパーリンク" xfId="906" builtinId="9" hidden="1"/>
    <cellStyle name="表示済みのハイパーリンク" xfId="908" builtinId="9" hidden="1"/>
    <cellStyle name="表示済みのハイパーリンク" xfId="910" builtinId="9" hidden="1"/>
    <cellStyle name="表示済みのハイパーリンク" xfId="912" builtinId="9" hidden="1"/>
    <cellStyle name="表示済みのハイパーリンク" xfId="914" builtinId="9" hidden="1"/>
    <cellStyle name="表示済みのハイパーリンク" xfId="916" builtinId="9" hidden="1"/>
    <cellStyle name="表示済みのハイパーリンク" xfId="918" builtinId="9" hidden="1"/>
    <cellStyle name="表示済みのハイパーリンク" xfId="920" builtinId="9" hidden="1"/>
    <cellStyle name="表示済みのハイパーリンク" xfId="922" builtinId="9" hidden="1"/>
    <cellStyle name="表示済みのハイパーリンク" xfId="924" builtinId="9" hidden="1"/>
    <cellStyle name="表示済みのハイパーリンク" xfId="926" builtinId="9" hidden="1"/>
    <cellStyle name="表示済みのハイパーリンク" xfId="928" builtinId="9" hidden="1"/>
    <cellStyle name="表示済みのハイパーリンク" xfId="930" builtinId="9" hidden="1"/>
    <cellStyle name="表示済みのハイパーリンク" xfId="932" builtinId="9" hidden="1"/>
    <cellStyle name="表示済みのハイパーリンク" xfId="934" builtinId="9" hidden="1"/>
    <cellStyle name="表示済みのハイパーリンク" xfId="936" builtinId="9" hidden="1"/>
    <cellStyle name="表示済みのハイパーリンク" xfId="938" builtinId="9" hidden="1"/>
    <cellStyle name="表示済みのハイパーリンク" xfId="940" builtinId="9" hidden="1"/>
    <cellStyle name="表示済みのハイパーリンク" xfId="942" builtinId="9" hidden="1"/>
    <cellStyle name="表示済みのハイパーリンク" xfId="944" builtinId="9" hidden="1"/>
    <cellStyle name="表示済みのハイパーリンク" xfId="946" builtinId="9" hidden="1"/>
    <cellStyle name="表示済みのハイパーリンク" xfId="948" builtinId="9" hidden="1"/>
    <cellStyle name="表示済みのハイパーリンク" xfId="950" builtinId="9" hidden="1"/>
    <cellStyle name="表示済みのハイパーリンク" xfId="952" builtinId="9" hidden="1"/>
    <cellStyle name="表示済みのハイパーリンク" xfId="954" builtinId="9" hidden="1"/>
    <cellStyle name="表示済みのハイパーリンク" xfId="956" builtinId="9" hidden="1"/>
    <cellStyle name="表示済みのハイパーリンク" xfId="958" builtinId="9" hidden="1"/>
    <cellStyle name="表示済みのハイパーリンク" xfId="960" builtinId="9" hidden="1"/>
    <cellStyle name="表示済みのハイパーリンク" xfId="962" builtinId="9" hidden="1"/>
    <cellStyle name="表示済みのハイパーリンク" xfId="964" builtinId="9" hidden="1"/>
    <cellStyle name="表示済みのハイパーリンク" xfId="966" builtinId="9" hidden="1"/>
    <cellStyle name="表示済みのハイパーリンク" xfId="968" builtinId="9" hidden="1"/>
    <cellStyle name="表示済みのハイパーリンク" xfId="970" builtinId="9" hidden="1"/>
    <cellStyle name="表示済みのハイパーリンク" xfId="972" builtinId="9" hidden="1"/>
    <cellStyle name="表示済みのハイパーリンク" xfId="974" builtinId="9" hidden="1"/>
    <cellStyle name="表示済みのハイパーリンク" xfId="976" builtinId="9" hidden="1"/>
    <cellStyle name="表示済みのハイパーリンク" xfId="978" builtinId="9" hidden="1"/>
    <cellStyle name="表示済みのハイパーリンク" xfId="980" builtinId="9" hidden="1"/>
    <cellStyle name="表示済みのハイパーリンク" xfId="982" builtinId="9" hidden="1"/>
    <cellStyle name="表示済みのハイパーリンク" xfId="984" builtinId="9" hidden="1"/>
    <cellStyle name="表示済みのハイパーリンク" xfId="986" builtinId="9" hidden="1"/>
    <cellStyle name="表示済みのハイパーリンク" xfId="988" builtinId="9" hidden="1"/>
    <cellStyle name="表示済みのハイパーリンク" xfId="990" builtinId="9" hidden="1"/>
    <cellStyle name="表示済みのハイパーリンク" xfId="992" builtinId="9" hidden="1"/>
    <cellStyle name="表示済みのハイパーリンク" xfId="994" builtinId="9" hidden="1"/>
    <cellStyle name="表示済みのハイパーリンク" xfId="996" builtinId="9" hidden="1"/>
    <cellStyle name="表示済みのハイパーリンク" xfId="998" builtinId="9" hidden="1"/>
    <cellStyle name="表示済みのハイパーリンク" xfId="1000" builtinId="9" hidden="1"/>
    <cellStyle name="表示済みのハイパーリンク" xfId="1002" builtinId="9" hidden="1"/>
    <cellStyle name="表示済みのハイパーリンク" xfId="1004" builtinId="9" hidden="1"/>
    <cellStyle name="表示済みのハイパーリンク" xfId="1006" builtinId="9" hidden="1"/>
    <cellStyle name="表示済みのハイパーリンク" xfId="1008" builtinId="9" hidden="1"/>
    <cellStyle name="表示済みのハイパーリンク" xfId="1010" builtinId="9" hidden="1"/>
    <cellStyle name="表示済みのハイパーリンク" xfId="1012" builtinId="9" hidden="1"/>
    <cellStyle name="表示済みのハイパーリンク" xfId="1014" builtinId="9" hidden="1"/>
    <cellStyle name="表示済みのハイパーリンク" xfId="1016" builtinId="9" hidden="1"/>
    <cellStyle name="表示済みのハイパーリンク" xfId="1018" builtinId="9" hidden="1"/>
    <cellStyle name="表示済みのハイパーリンク" xfId="1020" builtinId="9" hidden="1"/>
    <cellStyle name="表示済みのハイパーリンク" xfId="1022" builtinId="9" hidden="1"/>
    <cellStyle name="表示済みのハイパーリンク" xfId="1024" builtinId="9" hidden="1"/>
    <cellStyle name="表示済みのハイパーリンク" xfId="1026" builtinId="9" hidden="1"/>
    <cellStyle name="表示済みのハイパーリンク" xfId="1028" builtinId="9" hidden="1"/>
    <cellStyle name="表示済みのハイパーリンク" xfId="1030" builtinId="9" hidden="1"/>
    <cellStyle name="表示済みのハイパーリンク" xfId="1032" builtinId="9" hidden="1"/>
    <cellStyle name="表示済みのハイパーリンク" xfId="1034" builtinId="9" hidden="1"/>
    <cellStyle name="表示済みのハイパーリンク" xfId="1036" builtinId="9" hidden="1"/>
    <cellStyle name="表示済みのハイパーリンク" xfId="1038" builtinId="9" hidden="1"/>
    <cellStyle name="表示済みのハイパーリンク" xfId="1040" builtinId="9" hidden="1"/>
    <cellStyle name="表示済みのハイパーリンク" xfId="1042" builtinId="9" hidden="1"/>
    <cellStyle name="表示済みのハイパーリンク" xfId="1044" builtinId="9" hidden="1"/>
    <cellStyle name="表示済みのハイパーリンク" xfId="1046" builtinId="9" hidden="1"/>
    <cellStyle name="表示済みのハイパーリンク" xfId="1048" builtinId="9" hidden="1"/>
    <cellStyle name="表示済みのハイパーリンク" xfId="1050" builtinId="9" hidden="1"/>
    <cellStyle name="表示済みのハイパーリンク" xfId="1052" builtinId="9" hidden="1"/>
    <cellStyle name="表示済みのハイパーリンク" xfId="1054" builtinId="9" hidden="1"/>
    <cellStyle name="表示済みのハイパーリンク" xfId="1056" builtinId="9" hidden="1"/>
    <cellStyle name="表示済みのハイパーリンク" xfId="1058" builtinId="9" hidden="1"/>
    <cellStyle name="表示済みのハイパーリンク" xfId="1060" builtinId="9" hidden="1"/>
    <cellStyle name="表示済みのハイパーリンク" xfId="1062" builtinId="9" hidden="1"/>
    <cellStyle name="表示済みのハイパーリンク" xfId="1064" builtinId="9" hidden="1"/>
    <cellStyle name="表示済みのハイパーリンク" xfId="1066" builtinId="9" hidden="1"/>
    <cellStyle name="表示済みのハイパーリンク" xfId="1068" builtinId="9" hidden="1"/>
    <cellStyle name="表示済みのハイパーリンク" xfId="1070" builtinId="9" hidden="1"/>
    <cellStyle name="表示済みのハイパーリンク" xfId="1072" builtinId="9" hidden="1"/>
    <cellStyle name="表示済みのハイパーリンク" xfId="1074" builtinId="9" hidden="1"/>
    <cellStyle name="表示済みのハイパーリンク" xfId="1076" builtinId="9" hidden="1"/>
    <cellStyle name="表示済みのハイパーリンク" xfId="1078" builtinId="9" hidden="1"/>
    <cellStyle name="表示済みのハイパーリンク" xfId="1080" builtinId="9" hidden="1"/>
    <cellStyle name="表示済みのハイパーリンク" xfId="1082" builtinId="9" hidden="1"/>
    <cellStyle name="表示済みのハイパーリンク" xfId="1084" builtinId="9" hidden="1"/>
    <cellStyle name="表示済みのハイパーリンク" xfId="1086" builtinId="9" hidden="1"/>
    <cellStyle name="表示済みのハイパーリンク" xfId="1088" builtinId="9" hidden="1"/>
    <cellStyle name="表示済みのハイパーリンク" xfId="1090" builtinId="9" hidden="1"/>
    <cellStyle name="表示済みのハイパーリンク" xfId="1092" builtinId="9" hidden="1"/>
    <cellStyle name="表示済みのハイパーリンク" xfId="1094" builtinId="9" hidden="1"/>
    <cellStyle name="表示済みのハイパーリンク" xfId="1096" builtinId="9" hidden="1"/>
    <cellStyle name="表示済みのハイパーリンク" xfId="1098" builtinId="9" hidden="1"/>
    <cellStyle name="表示済みのハイパーリンク" xfId="1100" builtinId="9" hidden="1"/>
    <cellStyle name="表示済みのハイパーリンク" xfId="1102" builtinId="9" hidden="1"/>
    <cellStyle name="表示済みのハイパーリンク" xfId="1104" builtinId="9" hidden="1"/>
    <cellStyle name="表示済みのハイパーリンク" xfId="1106" builtinId="9" hidden="1"/>
    <cellStyle name="表示済みのハイパーリンク" xfId="1108" builtinId="9" hidden="1"/>
    <cellStyle name="表示済みのハイパーリンク" xfId="1110" builtinId="9" hidden="1"/>
    <cellStyle name="表示済みのハイパーリンク" xfId="1112" builtinId="9" hidden="1"/>
    <cellStyle name="表示済みのハイパーリンク" xfId="1114" builtinId="9" hidden="1"/>
    <cellStyle name="表示済みのハイパーリンク" xfId="1116" builtinId="9" hidden="1"/>
    <cellStyle name="表示済みのハイパーリンク" xfId="1118" builtinId="9" hidden="1"/>
    <cellStyle name="表示済みのハイパーリンク" xfId="1120" builtinId="9" hidden="1"/>
    <cellStyle name="表示済みのハイパーリンク" xfId="1122" builtinId="9" hidden="1"/>
    <cellStyle name="表示済みのハイパーリンク" xfId="1124" builtinId="9" hidden="1"/>
    <cellStyle name="表示済みのハイパーリンク" xfId="1126" builtinId="9" hidden="1"/>
    <cellStyle name="表示済みのハイパーリンク" xfId="1128" builtinId="9" hidden="1"/>
    <cellStyle name="表示済みのハイパーリンク" xfId="1130" builtinId="9" hidden="1"/>
    <cellStyle name="表示済みのハイパーリンク" xfId="1132" builtinId="9" hidden="1"/>
    <cellStyle name="表示済みのハイパーリンク" xfId="1134" builtinId="9" hidden="1"/>
    <cellStyle name="表示済みのハイパーリンク" xfId="1136" builtinId="9" hidden="1"/>
    <cellStyle name="表示済みのハイパーリンク" xfId="1138" builtinId="9" hidden="1"/>
    <cellStyle name="表示済みのハイパーリンク" xfId="1140" builtinId="9" hidden="1"/>
    <cellStyle name="表示済みのハイパーリンク" xfId="1142" builtinId="9" hidden="1"/>
    <cellStyle name="表示済みのハイパーリンク" xfId="1144" builtinId="9" hidden="1"/>
    <cellStyle name="表示済みのハイパーリンク" xfId="1146" builtinId="9" hidden="1"/>
    <cellStyle name="表示済みのハイパーリンク" xfId="1148" builtinId="9" hidden="1"/>
    <cellStyle name="表示済みのハイパーリンク" xfId="1150" builtinId="9" hidden="1"/>
    <cellStyle name="表示済みのハイパーリンク" xfId="1152" builtinId="9" hidden="1"/>
    <cellStyle name="表示済みのハイパーリンク" xfId="1154" builtinId="9" hidden="1"/>
    <cellStyle name="表示済みのハイパーリンク" xfId="1156" builtinId="9" hidden="1"/>
    <cellStyle name="表示済みのハイパーリンク" xfId="1158" builtinId="9" hidden="1"/>
    <cellStyle name="表示済みのハイパーリンク" xfId="1160" builtinId="9" hidden="1"/>
    <cellStyle name="表示済みのハイパーリンク" xfId="1162" builtinId="9" hidden="1"/>
    <cellStyle name="表示済みのハイパーリンク" xfId="1164" builtinId="9" hidden="1"/>
    <cellStyle name="表示済みのハイパーリンク" xfId="1166" builtinId="9" hidden="1"/>
    <cellStyle name="表示済みのハイパーリンク" xfId="1168" builtinId="9" hidden="1"/>
    <cellStyle name="表示済みのハイパーリンク" xfId="1170" builtinId="9" hidden="1"/>
    <cellStyle name="表示済みのハイパーリンク" xfId="1172" builtinId="9" hidden="1"/>
    <cellStyle name="表示済みのハイパーリンク" xfId="1174" builtinId="9" hidden="1"/>
    <cellStyle name="表示済みのハイパーリンク" xfId="1176" builtinId="9" hidden="1"/>
    <cellStyle name="表示済みのハイパーリンク" xfId="1178" builtinId="9" hidden="1"/>
    <cellStyle name="表示済みのハイパーリンク" xfId="1180" builtinId="9" hidden="1"/>
    <cellStyle name="表示済みのハイパーリンク" xfId="1182" builtinId="9" hidden="1"/>
    <cellStyle name="表示済みのハイパーリンク" xfId="1184" builtinId="9" hidden="1"/>
    <cellStyle name="表示済みのハイパーリンク" xfId="1186" builtinId="9" hidden="1"/>
    <cellStyle name="表示済みのハイパーリンク" xfId="1188" builtinId="9" hidden="1"/>
    <cellStyle name="表示済みのハイパーリンク" xfId="1190" builtinId="9" hidden="1"/>
    <cellStyle name="表示済みのハイパーリンク" xfId="1192" builtinId="9" hidden="1"/>
    <cellStyle name="表示済みのハイパーリンク" xfId="1194" builtinId="9" hidden="1"/>
    <cellStyle name="表示済みのハイパーリンク" xfId="1196" builtinId="9" hidden="1"/>
    <cellStyle name="表示済みのハイパーリンク" xfId="1198" builtinId="9" hidden="1"/>
    <cellStyle name="表示済みのハイパーリンク" xfId="1200" builtinId="9" hidden="1"/>
    <cellStyle name="表示済みのハイパーリンク" xfId="1202" builtinId="9" hidden="1"/>
    <cellStyle name="表示済みのハイパーリンク" xfId="1204" builtinId="9" hidden="1"/>
    <cellStyle name="表示済みのハイパーリンク" xfId="1206" builtinId="9" hidden="1"/>
    <cellStyle name="表示済みのハイパーリンク" xfId="1208" builtinId="9" hidden="1"/>
    <cellStyle name="表示済みのハイパーリンク" xfId="1210" builtinId="9" hidden="1"/>
    <cellStyle name="表示済みのハイパーリンク" xfId="1212" builtinId="9" hidden="1"/>
    <cellStyle name="表示済みのハイパーリンク" xfId="1214" builtinId="9" hidden="1"/>
    <cellStyle name="表示済みのハイパーリンク" xfId="1216" builtinId="9" hidden="1"/>
    <cellStyle name="表示済みのハイパーリンク" xfId="1218" builtinId="9" hidden="1"/>
    <cellStyle name="表示済みのハイパーリンク" xfId="1220" builtinId="9" hidden="1"/>
    <cellStyle name="表示済みのハイパーリンク" xfId="1222" builtinId="9" hidden="1"/>
    <cellStyle name="表示済みのハイパーリンク" xfId="1224" builtinId="9" hidden="1"/>
    <cellStyle name="表示済みのハイパーリンク" xfId="1226" builtinId="9" hidden="1"/>
    <cellStyle name="表示済みのハイパーリンク" xfId="1228" builtinId="9" hidden="1"/>
    <cellStyle name="表示済みのハイパーリンク" xfId="1230" builtinId="9" hidden="1"/>
    <cellStyle name="表示済みのハイパーリンク" xfId="1232" builtinId="9" hidden="1"/>
    <cellStyle name="表示済みのハイパーリンク" xfId="1234" builtinId="9" hidden="1"/>
    <cellStyle name="表示済みのハイパーリンク" xfId="1236" builtinId="9" hidden="1"/>
    <cellStyle name="表示済みのハイパーリンク" xfId="1238" builtinId="9" hidden="1"/>
    <cellStyle name="表示済みのハイパーリンク" xfId="1240" builtinId="9" hidden="1"/>
    <cellStyle name="表示済みのハイパーリンク" xfId="1242" builtinId="9" hidden="1"/>
    <cellStyle name="表示済みのハイパーリンク" xfId="1244" builtinId="9" hidden="1"/>
    <cellStyle name="表示済みのハイパーリンク" xfId="1246" builtinId="9" hidden="1"/>
    <cellStyle name="表示済みのハイパーリンク" xfId="1248" builtinId="9" hidden="1"/>
    <cellStyle name="表示済みのハイパーリンク" xfId="1250" builtinId="9" hidden="1"/>
    <cellStyle name="表示済みのハイパーリンク" xfId="1252" builtinId="9" hidden="1"/>
    <cellStyle name="表示済みのハイパーリンク" xfId="1254" builtinId="9" hidden="1"/>
    <cellStyle name="表示済みのハイパーリンク" xfId="1256" builtinId="9" hidden="1"/>
    <cellStyle name="表示済みのハイパーリンク" xfId="1258" builtinId="9" hidden="1"/>
    <cellStyle name="表示済みのハイパーリンク" xfId="1260" builtinId="9" hidden="1"/>
    <cellStyle name="表示済みのハイパーリンク" xfId="1262" builtinId="9" hidden="1"/>
    <cellStyle name="表示済みのハイパーリンク" xfId="1264" builtinId="9" hidden="1"/>
    <cellStyle name="表示済みのハイパーリンク" xfId="1266" builtinId="9" hidden="1"/>
    <cellStyle name="表示済みのハイパーリンク" xfId="1268" builtinId="9" hidden="1"/>
    <cellStyle name="表示済みのハイパーリンク" xfId="1270" builtinId="9" hidden="1"/>
    <cellStyle name="表示済みのハイパーリンク" xfId="1272" builtinId="9" hidden="1"/>
    <cellStyle name="表示済みのハイパーリンク" xfId="1274" builtinId="9" hidden="1"/>
    <cellStyle name="表示済みのハイパーリンク" xfId="1276" builtinId="9" hidden="1"/>
    <cellStyle name="表示済みのハイパーリンク" xfId="1278" builtinId="9" hidden="1"/>
    <cellStyle name="表示済みのハイパーリンク" xfId="1280" builtinId="9" hidden="1"/>
    <cellStyle name="表示済みのハイパーリンク" xfId="1282" builtinId="9" hidden="1"/>
    <cellStyle name="表示済みのハイパーリンク" xfId="1284" builtinId="9" hidden="1"/>
    <cellStyle name="表示済みのハイパーリンク" xfId="1286" builtinId="9" hidden="1"/>
    <cellStyle name="表示済みのハイパーリンク" xfId="1288" builtinId="9" hidden="1"/>
    <cellStyle name="表示済みのハイパーリンク" xfId="1290" builtinId="9" hidden="1"/>
    <cellStyle name="表示済みのハイパーリンク" xfId="1292" builtinId="9" hidden="1"/>
    <cellStyle name="表示済みのハイパーリンク" xfId="1294" builtinId="9" hidden="1"/>
    <cellStyle name="表示済みのハイパーリンク" xfId="1296" builtinId="9" hidden="1"/>
    <cellStyle name="表示済みのハイパーリンク" xfId="1298" builtinId="9" hidden="1"/>
    <cellStyle name="表示済みのハイパーリンク" xfId="1300" builtinId="9" hidden="1"/>
    <cellStyle name="表示済みのハイパーリンク" xfId="1302" builtinId="9" hidden="1"/>
    <cellStyle name="表示済みのハイパーリンク" xfId="1304" builtinId="9" hidden="1"/>
    <cellStyle name="表示済みのハイパーリンク" xfId="1306" builtinId="9" hidden="1"/>
    <cellStyle name="表示済みのハイパーリンク" xfId="1308" builtinId="9" hidden="1"/>
    <cellStyle name="表示済みのハイパーリンク" xfId="1310" builtinId="9" hidden="1"/>
    <cellStyle name="表示済みのハイパーリンク" xfId="1312" builtinId="9" hidden="1"/>
    <cellStyle name="表示済みのハイパーリンク" xfId="1314" builtinId="9" hidden="1"/>
    <cellStyle name="表示済みのハイパーリンク" xfId="1316" builtinId="9" hidden="1"/>
    <cellStyle name="表示済みのハイパーリンク" xfId="1318" builtinId="9" hidden="1"/>
    <cellStyle name="表示済みのハイパーリンク" xfId="1320" builtinId="9" hidden="1"/>
    <cellStyle name="表示済みのハイパーリンク" xfId="1322" builtinId="9" hidden="1"/>
    <cellStyle name="表示済みのハイパーリンク" xfId="1324" builtinId="9" hidden="1"/>
    <cellStyle name="表示済みのハイパーリンク" xfId="1326" builtinId="9" hidden="1"/>
    <cellStyle name="表示済みのハイパーリンク" xfId="1328" builtinId="9" hidden="1"/>
    <cellStyle name="表示済みのハイパーリンク" xfId="1330" builtinId="9" hidden="1"/>
    <cellStyle name="表示済みのハイパーリンク" xfId="1332" builtinId="9" hidden="1"/>
    <cellStyle name="表示済みのハイパーリンク" xfId="1334" builtinId="9" hidden="1"/>
    <cellStyle name="表示済みのハイパーリンク" xfId="1336" builtinId="9" hidden="1"/>
    <cellStyle name="表示済みのハイパーリンク" xfId="1338" builtinId="9" hidden="1"/>
    <cellStyle name="表示済みのハイパーリンク" xfId="1340" builtinId="9" hidden="1"/>
    <cellStyle name="表示済みのハイパーリンク" xfId="1342" builtinId="9" hidden="1"/>
    <cellStyle name="表示済みのハイパーリンク" xfId="1344" builtinId="9" hidden="1"/>
    <cellStyle name="表示済みのハイパーリンク" xfId="1346" builtinId="9" hidden="1"/>
    <cellStyle name="表示済みのハイパーリンク" xfId="1348" builtinId="9" hidden="1"/>
    <cellStyle name="表示済みのハイパーリンク" xfId="1350" builtinId="9" hidden="1"/>
    <cellStyle name="表示済みのハイパーリンク" xfId="1352" builtinId="9" hidden="1"/>
    <cellStyle name="表示済みのハイパーリンク" xfId="1354" builtinId="9" hidden="1"/>
    <cellStyle name="表示済みのハイパーリンク" xfId="1356" builtinId="9" hidden="1"/>
    <cellStyle name="表示済みのハイパーリンク" xfId="1358" builtinId="9" hidden="1"/>
    <cellStyle name="表示済みのハイパーリンク" xfId="1360" builtinId="9" hidden="1"/>
    <cellStyle name="表示済みのハイパーリンク" xfId="1362" builtinId="9" hidden="1"/>
    <cellStyle name="表示済みのハイパーリンク" xfId="1364" builtinId="9" hidden="1"/>
    <cellStyle name="表示済みのハイパーリンク" xfId="1366" builtinId="9" hidden="1"/>
    <cellStyle name="表示済みのハイパーリンク" xfId="1368" builtinId="9" hidden="1"/>
    <cellStyle name="表示済みのハイパーリンク" xfId="1370" builtinId="9" hidden="1"/>
    <cellStyle name="表示済みのハイパーリンク" xfId="1372" builtinId="9" hidden="1"/>
    <cellStyle name="表示済みのハイパーリンク" xfId="1374" builtinId="9" hidden="1"/>
    <cellStyle name="表示済みのハイパーリンク" xfId="1376" builtinId="9" hidden="1"/>
    <cellStyle name="表示済みのハイパーリンク" xfId="1378" builtinId="9" hidden="1"/>
    <cellStyle name="表示済みのハイパーリンク" xfId="1380" builtinId="9" hidden="1"/>
    <cellStyle name="表示済みのハイパーリンク" xfId="1382" builtinId="9" hidden="1"/>
    <cellStyle name="表示済みのハイパーリンク" xfId="1384" builtinId="9" hidden="1"/>
    <cellStyle name="表示済みのハイパーリンク" xfId="1386" builtinId="9" hidden="1"/>
    <cellStyle name="表示済みのハイパーリンク" xfId="1388" builtinId="9" hidden="1"/>
    <cellStyle name="表示済みのハイパーリンク" xfId="1390" builtinId="9" hidden="1"/>
    <cellStyle name="表示済みのハイパーリンク" xfId="1392" builtinId="9" hidden="1"/>
    <cellStyle name="表示済みのハイパーリンク" xfId="1394" builtinId="9" hidden="1"/>
    <cellStyle name="表示済みのハイパーリンク" xfId="1396" builtinId="9" hidden="1"/>
    <cellStyle name="表示済みのハイパーリンク" xfId="1398" builtinId="9" hidden="1"/>
    <cellStyle name="表示済みのハイパーリンク" xfId="1400" builtinId="9" hidden="1"/>
    <cellStyle name="表示済みのハイパーリンク" xfId="1402" builtinId="9" hidden="1"/>
    <cellStyle name="表示済みのハイパーリンク" xfId="1404" builtinId="9" hidden="1"/>
    <cellStyle name="表示済みのハイパーリンク" xfId="1406" builtinId="9" hidden="1"/>
    <cellStyle name="表示済みのハイパーリンク" xfId="1408" builtinId="9" hidden="1"/>
    <cellStyle name="表示済みのハイパーリンク" xfId="1410" builtinId="9" hidden="1"/>
    <cellStyle name="表示済みのハイパーリンク" xfId="1412" builtinId="9" hidden="1"/>
    <cellStyle name="表示済みのハイパーリンク" xfId="1414" builtinId="9" hidden="1"/>
    <cellStyle name="表示済みのハイパーリンク" xfId="1416" builtinId="9" hidden="1"/>
    <cellStyle name="表示済みのハイパーリンク" xfId="1418" builtinId="9" hidden="1"/>
    <cellStyle name="表示済みのハイパーリンク" xfId="1420" builtinId="9" hidden="1"/>
    <cellStyle name="表示済みのハイパーリンク" xfId="1422" builtinId="9" hidden="1"/>
    <cellStyle name="表示済みのハイパーリンク" xfId="1424" builtinId="9" hidden="1"/>
    <cellStyle name="表示済みのハイパーリンク" xfId="1426" builtinId="9" hidden="1"/>
    <cellStyle name="表示済みのハイパーリンク" xfId="1428" builtinId="9" hidden="1"/>
    <cellStyle name="表示済みのハイパーリンク" xfId="1430" builtinId="9" hidden="1"/>
    <cellStyle name="表示済みのハイパーリンク" xfId="1432" builtinId="9" hidden="1"/>
    <cellStyle name="表示済みのハイパーリンク" xfId="1434" builtinId="9" hidden="1"/>
    <cellStyle name="表示済みのハイパーリンク" xfId="1436" builtinId="9" hidden="1"/>
    <cellStyle name="表示済みのハイパーリンク" xfId="1438" builtinId="9" hidden="1"/>
    <cellStyle name="表示済みのハイパーリンク" xfId="1440" builtinId="9" hidden="1"/>
    <cellStyle name="表示済みのハイパーリンク" xfId="1442" builtinId="9" hidden="1"/>
    <cellStyle name="表示済みのハイパーリンク" xfId="1444" builtinId="9" hidden="1"/>
    <cellStyle name="表示済みのハイパーリンク" xfId="1446" builtinId="9" hidden="1"/>
    <cellStyle name="表示済みのハイパーリンク" xfId="1448" builtinId="9" hidden="1"/>
    <cellStyle name="表示済みのハイパーリンク" xfId="1450" builtinId="9" hidden="1"/>
    <cellStyle name="表示済みのハイパーリンク" xfId="1452" builtinId="9" hidden="1"/>
    <cellStyle name="表示済みのハイパーリンク" xfId="1454" builtinId="9" hidden="1"/>
    <cellStyle name="表示済みのハイパーリンク" xfId="1456" builtinId="9" hidden="1"/>
    <cellStyle name="表示済みのハイパーリンク" xfId="1458" builtinId="9" hidden="1"/>
    <cellStyle name="表示済みのハイパーリンク" xfId="1460" builtinId="9" hidden="1"/>
    <cellStyle name="表示済みのハイパーリンク" xfId="1462" builtinId="9" hidden="1"/>
    <cellStyle name="表示済みのハイパーリンク" xfId="1464" builtinId="9" hidden="1"/>
    <cellStyle name="表示済みのハイパーリンク" xfId="1466" builtinId="9" hidden="1"/>
    <cellStyle name="表示済みのハイパーリンク" xfId="1468" builtinId="9" hidden="1"/>
    <cellStyle name="表示済みのハイパーリンク" xfId="1470" builtinId="9" hidden="1"/>
    <cellStyle name="表示済みのハイパーリンク" xfId="1472" builtinId="9" hidden="1"/>
    <cellStyle name="表示済みのハイパーリンク" xfId="1474" builtinId="9" hidden="1"/>
    <cellStyle name="表示済みのハイパーリンク" xfId="1476" builtinId="9" hidden="1"/>
    <cellStyle name="表示済みのハイパーリンク" xfId="1478" builtinId="9" hidden="1"/>
    <cellStyle name="表示済みのハイパーリンク" xfId="1480" builtinId="9" hidden="1"/>
    <cellStyle name="表示済みのハイパーリンク" xfId="1482" builtinId="9" hidden="1"/>
    <cellStyle name="表示済みのハイパーリンク" xfId="1484" builtinId="9" hidden="1"/>
    <cellStyle name="表示済みのハイパーリンク" xfId="1486" builtinId="9" hidden="1"/>
    <cellStyle name="表示済みのハイパーリンク" xfId="1488" builtinId="9" hidden="1"/>
    <cellStyle name="表示済みのハイパーリンク" xfId="1490" builtinId="9" hidden="1"/>
    <cellStyle name="表示済みのハイパーリンク" xfId="1492" builtinId="9" hidden="1"/>
    <cellStyle name="表示済みのハイパーリンク" xfId="1494" builtinId="9" hidden="1"/>
    <cellStyle name="表示済みのハイパーリンク" xfId="1496" builtinId="9" hidden="1"/>
    <cellStyle name="表示済みのハイパーリンク" xfId="1498" builtinId="9" hidden="1"/>
    <cellStyle name="表示済みのハイパーリンク" xfId="1500" builtinId="9" hidden="1"/>
    <cellStyle name="表示済みのハイパーリンク" xfId="1502" builtinId="9" hidden="1"/>
    <cellStyle name="表示済みのハイパーリンク" xfId="1504" builtinId="9" hidden="1"/>
    <cellStyle name="表示済みのハイパーリンク" xfId="1506" builtinId="9" hidden="1"/>
    <cellStyle name="表示済みのハイパーリンク" xfId="1508" builtinId="9" hidden="1"/>
    <cellStyle name="表示済みのハイパーリンク" xfId="1510" builtinId="9" hidden="1"/>
    <cellStyle name="表示済みのハイパーリンク" xfId="1512" builtinId="9" hidden="1"/>
    <cellStyle name="表示済みのハイパーリンク" xfId="1514" builtinId="9" hidden="1"/>
    <cellStyle name="表示済みのハイパーリンク" xfId="1516" builtinId="9" hidden="1"/>
    <cellStyle name="表示済みのハイパーリンク" xfId="1518" builtinId="9" hidden="1"/>
    <cellStyle name="表示済みのハイパーリンク" xfId="1520" builtinId="9" hidden="1"/>
    <cellStyle name="表示済みのハイパーリンク" xfId="1522" builtinId="9" hidden="1"/>
    <cellStyle name="表示済みのハイパーリンク" xfId="1524" builtinId="9" hidden="1"/>
    <cellStyle name="表示済みのハイパーリンク" xfId="1526" builtinId="9" hidden="1"/>
    <cellStyle name="表示済みのハイパーリンク" xfId="1528" builtinId="9" hidden="1"/>
    <cellStyle name="表示済みのハイパーリンク" xfId="1530" builtinId="9" hidden="1"/>
    <cellStyle name="表示済みのハイパーリンク" xfId="1532" builtinId="9" hidden="1"/>
    <cellStyle name="表示済みのハイパーリンク" xfId="1534" builtinId="9" hidden="1"/>
    <cellStyle name="表示済みのハイパーリンク" xfId="1536" builtinId="9" hidden="1"/>
    <cellStyle name="表示済みのハイパーリンク" xfId="1538" builtinId="9" hidden="1"/>
    <cellStyle name="表示済みのハイパーリンク" xfId="1540" builtinId="9" hidden="1"/>
    <cellStyle name="表示済みのハイパーリンク" xfId="1542" builtinId="9" hidden="1"/>
    <cellStyle name="表示済みのハイパーリンク" xfId="1544" builtinId="9" hidden="1"/>
    <cellStyle name="表示済みのハイパーリンク" xfId="1546" builtinId="9" hidden="1"/>
    <cellStyle name="表示済みのハイパーリンク" xfId="1548" builtinId="9" hidden="1"/>
    <cellStyle name="表示済みのハイパーリンク" xfId="1550" builtinId="9" hidden="1"/>
    <cellStyle name="表示済みのハイパーリンク" xfId="1552" builtinId="9" hidden="1"/>
    <cellStyle name="表示済みのハイパーリンク" xfId="1554" builtinId="9" hidden="1"/>
    <cellStyle name="表示済みのハイパーリンク" xfId="1556" builtinId="9" hidden="1"/>
    <cellStyle name="表示済みのハイパーリンク" xfId="1558" builtinId="9" hidden="1"/>
    <cellStyle name="表示済みのハイパーリンク" xfId="1560" builtinId="9" hidden="1"/>
    <cellStyle name="表示済みのハイパーリンク" xfId="1562" builtinId="9" hidden="1"/>
    <cellStyle name="表示済みのハイパーリンク" xfId="1564" builtinId="9" hidden="1"/>
    <cellStyle name="表示済みのハイパーリンク" xfId="1566" builtinId="9" hidden="1"/>
    <cellStyle name="表示済みのハイパーリンク" xfId="1568" builtinId="9" hidden="1"/>
    <cellStyle name="表示済みのハイパーリンク" xfId="1570" builtinId="9" hidden="1"/>
    <cellStyle name="表示済みのハイパーリンク" xfId="1572" builtinId="9" hidden="1"/>
    <cellStyle name="表示済みのハイパーリンク" xfId="1574" builtinId="9" hidden="1"/>
    <cellStyle name="表示済みのハイパーリンク" xfId="1576" builtinId="9" hidden="1"/>
    <cellStyle name="表示済みのハイパーリンク" xfId="1578" builtinId="9" hidden="1"/>
    <cellStyle name="表示済みのハイパーリンク" xfId="1580" builtinId="9" hidden="1"/>
    <cellStyle name="表示済みのハイパーリンク" xfId="1582" builtinId="9" hidden="1"/>
    <cellStyle name="表示済みのハイパーリンク" xfId="1584" builtinId="9" hidden="1"/>
    <cellStyle name="表示済みのハイパーリンク" xfId="1586" builtinId="9" hidden="1"/>
    <cellStyle name="表示済みのハイパーリンク" xfId="1588" builtinId="9" hidden="1"/>
    <cellStyle name="表示済みのハイパーリンク" xfId="1590" builtinId="9" hidden="1"/>
    <cellStyle name="表示済みのハイパーリンク" xfId="1592" builtinId="9" hidden="1"/>
    <cellStyle name="表示済みのハイパーリンク" xfId="1594" builtinId="9" hidden="1"/>
    <cellStyle name="表示済みのハイパーリンク" xfId="1596" builtinId="9" hidden="1"/>
    <cellStyle name="表示済みのハイパーリンク" xfId="1598" builtinId="9" hidden="1"/>
    <cellStyle name="表示済みのハイパーリンク" xfId="1600" builtinId="9" hidden="1"/>
    <cellStyle name="表示済みのハイパーリンク" xfId="1602" builtinId="9" hidden="1"/>
    <cellStyle name="表示済みのハイパーリンク" xfId="1604" builtinId="9" hidden="1"/>
    <cellStyle name="表示済みのハイパーリンク" xfId="1606" builtinId="9" hidden="1"/>
    <cellStyle name="表示済みのハイパーリンク" xfId="1608" builtinId="9" hidden="1"/>
    <cellStyle name="表示済みのハイパーリンク" xfId="1610" builtinId="9" hidden="1"/>
    <cellStyle name="表示済みのハイパーリンク" xfId="1612" builtinId="9" hidden="1"/>
    <cellStyle name="表示済みのハイパーリンク" xfId="1614" builtinId="9" hidden="1"/>
    <cellStyle name="表示済みのハイパーリンク" xfId="1616" builtinId="9" hidden="1"/>
    <cellStyle name="表示済みのハイパーリンク" xfId="1618" builtinId="9" hidden="1"/>
    <cellStyle name="表示済みのハイパーリンク" xfId="1620" builtinId="9" hidden="1"/>
    <cellStyle name="表示済みのハイパーリンク" xfId="1622" builtinId="9" hidden="1"/>
    <cellStyle name="表示済みのハイパーリンク" xfId="1624" builtinId="9" hidden="1"/>
    <cellStyle name="表示済みのハイパーリンク" xfId="1626" builtinId="9" hidden="1"/>
    <cellStyle name="表示済みのハイパーリンク" xfId="1628" builtinId="9" hidden="1"/>
    <cellStyle name="表示済みのハイパーリンク" xfId="1630" builtinId="9" hidden="1"/>
    <cellStyle name="表示済みのハイパーリンク" xfId="1632" builtinId="9" hidden="1"/>
    <cellStyle name="表示済みのハイパーリンク" xfId="1634" builtinId="9" hidden="1"/>
    <cellStyle name="表示済みのハイパーリンク" xfId="1636" builtinId="9" hidden="1"/>
    <cellStyle name="表示済みのハイパーリンク" xfId="1638" builtinId="9" hidden="1"/>
    <cellStyle name="表示済みのハイパーリンク" xfId="1640" builtinId="9" hidden="1"/>
    <cellStyle name="表示済みのハイパーリンク" xfId="1642" builtinId="9" hidden="1"/>
    <cellStyle name="表示済みのハイパーリンク" xfId="1644" builtinId="9" hidden="1"/>
    <cellStyle name="表示済みのハイパーリンク" xfId="1646" builtinId="9" hidden="1"/>
    <cellStyle name="表示済みのハイパーリンク" xfId="1648" builtinId="9" hidden="1"/>
    <cellStyle name="表示済みのハイパーリンク" xfId="1650" builtinId="9" hidden="1"/>
    <cellStyle name="表示済みのハイパーリンク" xfId="1652" builtinId="9" hidden="1"/>
    <cellStyle name="表示済みのハイパーリンク" xfId="1654" builtinId="9" hidden="1"/>
    <cellStyle name="表示済みのハイパーリンク" xfId="1656" builtinId="9" hidden="1"/>
    <cellStyle name="表示済みのハイパーリンク" xfId="1658" builtinId="9" hidden="1"/>
    <cellStyle name="表示済みのハイパーリンク" xfId="1660" builtinId="9" hidden="1"/>
    <cellStyle name="表示済みのハイパーリンク" xfId="1662" builtinId="9" hidden="1"/>
    <cellStyle name="表示済みのハイパーリンク" xfId="1664" builtinId="9" hidden="1"/>
    <cellStyle name="表示済みのハイパーリンク" xfId="1666" builtinId="9" hidden="1"/>
    <cellStyle name="表示済みのハイパーリンク" xfId="1668" builtinId="9" hidden="1"/>
    <cellStyle name="表示済みのハイパーリンク" xfId="1670" builtinId="9" hidden="1"/>
    <cellStyle name="表示済みのハイパーリンク" xfId="1672" builtinId="9" hidden="1"/>
    <cellStyle name="表示済みのハイパーリンク" xfId="1674" builtinId="9" hidden="1"/>
    <cellStyle name="表示済みのハイパーリンク" xfId="1676" builtinId="9" hidden="1"/>
    <cellStyle name="表示済みのハイパーリンク" xfId="1678" builtinId="9" hidden="1"/>
    <cellStyle name="表示済みのハイパーリンク" xfId="1680" builtinId="9" hidden="1"/>
    <cellStyle name="表示済みのハイパーリンク" xfId="1682" builtinId="9" hidden="1"/>
    <cellStyle name="表示済みのハイパーリンク" xfId="1684" builtinId="9" hidden="1"/>
    <cellStyle name="表示済みのハイパーリンク" xfId="1686" builtinId="9" hidden="1"/>
    <cellStyle name="表示済みのハイパーリンク" xfId="1688" builtinId="9" hidden="1"/>
    <cellStyle name="表示済みのハイパーリンク" xfId="1690" builtinId="9" hidden="1"/>
    <cellStyle name="表示済みのハイパーリンク" xfId="1692" builtinId="9" hidden="1"/>
    <cellStyle name="表示済みのハイパーリンク" xfId="1694" builtinId="9" hidden="1"/>
    <cellStyle name="表示済みのハイパーリンク" xfId="1696" builtinId="9" hidden="1"/>
    <cellStyle name="表示済みのハイパーリンク" xfId="1698" builtinId="9" hidden="1"/>
    <cellStyle name="表示済みのハイパーリンク" xfId="1700" builtinId="9" hidden="1"/>
    <cellStyle name="表示済みのハイパーリンク" xfId="1702" builtinId="9" hidden="1"/>
    <cellStyle name="表示済みのハイパーリンク" xfId="1704" builtinId="9" hidden="1"/>
    <cellStyle name="表示済みのハイパーリンク" xfId="1706" builtinId="9" hidden="1"/>
    <cellStyle name="表示済みのハイパーリンク" xfId="1708" builtinId="9" hidden="1"/>
    <cellStyle name="表示済みのハイパーリンク" xfId="1710" builtinId="9" hidden="1"/>
    <cellStyle name="表示済みのハイパーリンク" xfId="1712" builtinId="9" hidden="1"/>
    <cellStyle name="表示済みのハイパーリンク" xfId="1714" builtinId="9" hidden="1"/>
    <cellStyle name="表示済みのハイパーリンク" xfId="1716" builtinId="9" hidden="1"/>
    <cellStyle name="表示済みのハイパーリンク" xfId="1718" builtinId="9" hidden="1"/>
    <cellStyle name="表示済みのハイパーリンク" xfId="1720" builtinId="9" hidden="1"/>
    <cellStyle name="表示済みのハイパーリンク" xfId="1722" builtinId="9" hidden="1"/>
    <cellStyle name="表示済みのハイパーリンク" xfId="1724" builtinId="9" hidden="1"/>
    <cellStyle name="表示済みのハイパーリンク" xfId="1726" builtinId="9" hidden="1"/>
    <cellStyle name="表示済みのハイパーリンク" xfId="1728" builtinId="9" hidden="1"/>
    <cellStyle name="表示済みのハイパーリンク" xfId="1730" builtinId="9" hidden="1"/>
    <cellStyle name="表示済みのハイパーリンク" xfId="1732" builtinId="9" hidden="1"/>
    <cellStyle name="表示済みのハイパーリンク" xfId="1734" builtinId="9" hidden="1"/>
    <cellStyle name="表示済みのハイパーリンク" xfId="1736" builtinId="9" hidden="1"/>
    <cellStyle name="表示済みのハイパーリンク" xfId="1738" builtinId="9" hidden="1"/>
    <cellStyle name="表示済みのハイパーリンク" xfId="1740" builtinId="9" hidden="1"/>
    <cellStyle name="表示済みのハイパーリンク" xfId="1742" builtinId="9" hidden="1"/>
    <cellStyle name="表示済みのハイパーリンク" xfId="1744" builtinId="9" hidden="1"/>
    <cellStyle name="表示済みのハイパーリンク" xfId="1746" builtinId="9" hidden="1"/>
    <cellStyle name="表示済みのハイパーリンク" xfId="1748" builtinId="9" hidden="1"/>
    <cellStyle name="表示済みのハイパーリンク" xfId="1750" builtinId="9" hidden="1"/>
    <cellStyle name="表示済みのハイパーリンク" xfId="1752" builtinId="9" hidden="1"/>
    <cellStyle name="表示済みのハイパーリンク" xfId="1754" builtinId="9" hidden="1"/>
    <cellStyle name="表示済みのハイパーリンク" xfId="1756" builtinId="9" hidden="1"/>
    <cellStyle name="表示済みのハイパーリンク" xfId="1758" builtinId="9" hidden="1"/>
    <cellStyle name="表示済みのハイパーリンク" xfId="1760" builtinId="9" hidden="1"/>
    <cellStyle name="表示済みのハイパーリンク" xfId="1762" builtinId="9" hidden="1"/>
    <cellStyle name="表示済みのハイパーリンク" xfId="1764" builtinId="9" hidden="1"/>
    <cellStyle name="表示済みのハイパーリンク" xfId="1766" builtinId="9" hidden="1"/>
    <cellStyle name="表示済みのハイパーリンク" xfId="1768" builtinId="9" hidden="1"/>
    <cellStyle name="表示済みのハイパーリンク" xfId="1770" builtinId="9" hidden="1"/>
    <cellStyle name="表示済みのハイパーリンク" xfId="1772" builtinId="9" hidden="1"/>
    <cellStyle name="表示済みのハイパーリンク" xfId="1774" builtinId="9" hidden="1"/>
    <cellStyle name="表示済みのハイパーリンク" xfId="1776" builtinId="9" hidden="1"/>
    <cellStyle name="表示済みのハイパーリンク" xfId="1778" builtinId="9" hidden="1"/>
    <cellStyle name="表示済みのハイパーリンク" xfId="1780" builtinId="9" hidden="1"/>
    <cellStyle name="表示済みのハイパーリンク" xfId="1782" builtinId="9" hidden="1"/>
    <cellStyle name="表示済みのハイパーリンク" xfId="1784" builtinId="9" hidden="1"/>
    <cellStyle name="表示済みのハイパーリンク" xfId="1786" builtinId="9" hidden="1"/>
    <cellStyle name="表示済みのハイパーリンク" xfId="1788" builtinId="9" hidden="1"/>
    <cellStyle name="表示済みのハイパーリンク" xfId="1790" builtinId="9" hidden="1"/>
    <cellStyle name="表示済みのハイパーリンク" xfId="1792" builtinId="9" hidden="1"/>
    <cellStyle name="表示済みのハイパーリンク" xfId="1794" builtinId="9" hidden="1"/>
    <cellStyle name="表示済みのハイパーリンク" xfId="1796" builtinId="9" hidden="1"/>
    <cellStyle name="表示済みのハイパーリンク" xfId="1798" builtinId="9" hidden="1"/>
    <cellStyle name="表示済みのハイパーリンク" xfId="1800" builtinId="9" hidden="1"/>
    <cellStyle name="表示済みのハイパーリンク" xfId="1802" builtinId="9" hidden="1"/>
    <cellStyle name="表示済みのハイパーリンク" xfId="1804" builtinId="9" hidden="1"/>
    <cellStyle name="表示済みのハイパーリンク" xfId="1806" builtinId="9" hidden="1"/>
    <cellStyle name="表示済みのハイパーリンク" xfId="1808" builtinId="9" hidden="1"/>
    <cellStyle name="表示済みのハイパーリンク" xfId="1810" builtinId="9" hidden="1"/>
    <cellStyle name="表示済みのハイパーリンク" xfId="1812" builtinId="9" hidden="1"/>
    <cellStyle name="表示済みのハイパーリンク" xfId="1814" builtinId="9" hidden="1"/>
    <cellStyle name="表示済みのハイパーリンク" xfId="1816" builtinId="9" hidden="1"/>
    <cellStyle name="表示済みのハイパーリンク" xfId="1818" builtinId="9" hidden="1"/>
    <cellStyle name="表示済みのハイパーリンク" xfId="1820" builtinId="9" hidden="1"/>
    <cellStyle name="表示済みのハイパーリンク" xfId="1822" builtinId="9" hidden="1"/>
    <cellStyle name="表示済みのハイパーリンク" xfId="1824" builtinId="9" hidden="1"/>
    <cellStyle name="表示済みのハイパーリンク" xfId="1826" builtinId="9" hidden="1"/>
    <cellStyle name="表示済みのハイパーリンク" xfId="1828" builtinId="9" hidden="1"/>
    <cellStyle name="表示済みのハイパーリンク" xfId="1830" builtinId="9" hidden="1"/>
    <cellStyle name="表示済みのハイパーリンク" xfId="1832" builtinId="9" hidden="1"/>
    <cellStyle name="表示済みのハイパーリンク" xfId="1834" builtinId="9" hidden="1"/>
    <cellStyle name="表示済みのハイパーリンク" xfId="1836" builtinId="9" hidden="1"/>
    <cellStyle name="表示済みのハイパーリンク" xfId="1838" builtinId="9" hidden="1"/>
    <cellStyle name="表示済みのハイパーリンク" xfId="1840" builtinId="9" hidden="1"/>
    <cellStyle name="表示済みのハイパーリンク" xfId="1842" builtinId="9" hidden="1"/>
    <cellStyle name="表示済みのハイパーリンク" xfId="1844" builtinId="9" hidden="1"/>
    <cellStyle name="表示済みのハイパーリンク" xfId="1846" builtinId="9" hidden="1"/>
    <cellStyle name="表示済みのハイパーリンク" xfId="1848" builtinId="9" hidden="1"/>
    <cellStyle name="表示済みのハイパーリンク" xfId="1850" builtinId="9" hidden="1"/>
    <cellStyle name="表示済みのハイパーリンク" xfId="1852" builtinId="9" hidden="1"/>
    <cellStyle name="表示済みのハイパーリンク" xfId="1854" builtinId="9" hidden="1"/>
    <cellStyle name="表示済みのハイパーリンク" xfId="1856" builtinId="9" hidden="1"/>
    <cellStyle name="表示済みのハイパーリンク" xfId="1858" builtinId="9" hidden="1"/>
    <cellStyle name="表示済みのハイパーリンク" xfId="1860" builtinId="9" hidden="1"/>
    <cellStyle name="表示済みのハイパーリンク" xfId="1862" builtinId="9" hidden="1"/>
    <cellStyle name="表示済みのハイパーリンク" xfId="1864" builtinId="9" hidden="1"/>
    <cellStyle name="表示済みのハイパーリンク" xfId="1866" builtinId="9" hidden="1"/>
    <cellStyle name="表示済みのハイパーリンク" xfId="1868" builtinId="9" hidden="1"/>
    <cellStyle name="表示済みのハイパーリンク" xfId="1870" builtinId="9" hidden="1"/>
    <cellStyle name="表示済みのハイパーリンク" xfId="1872" builtinId="9" hidden="1"/>
    <cellStyle name="表示済みのハイパーリンク" xfId="1874" builtinId="9" hidden="1"/>
    <cellStyle name="表示済みのハイパーリンク" xfId="1876" builtinId="9" hidden="1"/>
    <cellStyle name="表示済みのハイパーリンク" xfId="1878" builtinId="9" hidden="1"/>
    <cellStyle name="表示済みのハイパーリンク" xfId="1880" builtinId="9" hidden="1"/>
    <cellStyle name="表示済みのハイパーリンク" xfId="1882" builtinId="9" hidden="1"/>
    <cellStyle name="表示済みのハイパーリンク" xfId="1884" builtinId="9" hidden="1"/>
    <cellStyle name="表示済みのハイパーリンク" xfId="1886" builtinId="9" hidden="1"/>
    <cellStyle name="表示済みのハイパーリンク" xfId="1888" builtinId="9" hidden="1"/>
    <cellStyle name="表示済みのハイパーリンク" xfId="1890" builtinId="9" hidden="1"/>
    <cellStyle name="表示済みのハイパーリンク" xfId="1892" builtinId="9" hidden="1"/>
    <cellStyle name="表示済みのハイパーリンク" xfId="1894" builtinId="9" hidden="1"/>
    <cellStyle name="表示済みのハイパーリンク" xfId="1896" builtinId="9" hidden="1"/>
    <cellStyle name="表示済みのハイパーリンク" xfId="1898" builtinId="9" hidden="1"/>
    <cellStyle name="表示済みのハイパーリンク" xfId="1900" builtinId="9" hidden="1"/>
    <cellStyle name="表示済みのハイパーリンク" xfId="1902" builtinId="9" hidden="1"/>
    <cellStyle name="表示済みのハイパーリンク" xfId="1904" builtinId="9" hidden="1"/>
    <cellStyle name="表示済みのハイパーリンク" xfId="1906" builtinId="9" hidden="1"/>
    <cellStyle name="表示済みのハイパーリンク" xfId="1908" builtinId="9" hidden="1"/>
    <cellStyle name="表示済みのハイパーリンク" xfId="1910" builtinId="9" hidden="1"/>
    <cellStyle name="表示済みのハイパーリンク" xfId="1912" builtinId="9" hidden="1"/>
    <cellStyle name="表示済みのハイパーリンク" xfId="1914" builtinId="9" hidden="1"/>
    <cellStyle name="表示済みのハイパーリンク" xfId="1916" builtinId="9" hidden="1"/>
    <cellStyle name="表示済みのハイパーリンク" xfId="1918" builtinId="9" hidden="1"/>
    <cellStyle name="表示済みのハイパーリンク" xfId="1920" builtinId="9" hidden="1"/>
    <cellStyle name="表示済みのハイパーリンク" xfId="1922" builtinId="9" hidden="1"/>
    <cellStyle name="表示済みのハイパーリンク" xfId="1924" builtinId="9" hidden="1"/>
    <cellStyle name="表示済みのハイパーリンク" xfId="1926" builtinId="9" hidden="1"/>
    <cellStyle name="表示済みのハイパーリンク" xfId="1928" builtinId="9" hidden="1"/>
    <cellStyle name="表示済みのハイパーリンク" xfId="1930" builtinId="9" hidden="1"/>
    <cellStyle name="表示済みのハイパーリンク" xfId="1932" builtinId="9" hidden="1"/>
    <cellStyle name="表示済みのハイパーリンク" xfId="1934" builtinId="9" hidden="1"/>
    <cellStyle name="表示済みのハイパーリンク" xfId="1936" builtinId="9" hidden="1"/>
    <cellStyle name="表示済みのハイパーリンク" xfId="1938" builtinId="9" hidden="1"/>
    <cellStyle name="表示済みのハイパーリンク" xfId="1940" builtinId="9" hidden="1"/>
    <cellStyle name="表示済みのハイパーリンク" xfId="1942" builtinId="9" hidden="1"/>
    <cellStyle name="表示済みのハイパーリンク" xfId="1944" builtinId="9" hidden="1"/>
    <cellStyle name="表示済みのハイパーリンク" xfId="1946" builtinId="9" hidden="1"/>
    <cellStyle name="表示済みのハイパーリンク" xfId="1948" builtinId="9" hidden="1"/>
    <cellStyle name="表示済みのハイパーリンク" xfId="1950" builtinId="9" hidden="1"/>
    <cellStyle name="表示済みのハイパーリンク" xfId="1952" builtinId="9" hidden="1"/>
    <cellStyle name="表示済みのハイパーリンク" xfId="1954" builtinId="9" hidden="1"/>
    <cellStyle name="表示済みのハイパーリンク" xfId="1956" builtinId="9" hidden="1"/>
    <cellStyle name="表示済みのハイパーリンク" xfId="1958" builtinId="9" hidden="1"/>
    <cellStyle name="表示済みのハイパーリンク" xfId="1960" builtinId="9" hidden="1"/>
    <cellStyle name="表示済みのハイパーリンク" xfId="1962" builtinId="9" hidden="1"/>
    <cellStyle name="表示済みのハイパーリンク" xfId="1964" builtinId="9" hidden="1"/>
    <cellStyle name="表示済みのハイパーリンク" xfId="1966" builtinId="9" hidden="1"/>
    <cellStyle name="表示済みのハイパーリンク" xfId="1968" builtinId="9" hidden="1"/>
    <cellStyle name="表示済みのハイパーリンク" xfId="1970" builtinId="9" hidden="1"/>
    <cellStyle name="表示済みのハイパーリンク" xfId="1972" builtinId="9" hidden="1"/>
    <cellStyle name="表示済みのハイパーリンク" xfId="1974" builtinId="9" hidden="1"/>
    <cellStyle name="表示済みのハイパーリンク" xfId="1976" builtinId="9" hidden="1"/>
    <cellStyle name="表示済みのハイパーリンク" xfId="1978" builtinId="9" hidden="1"/>
    <cellStyle name="表示済みのハイパーリンク" xfId="1980" builtinId="9" hidden="1"/>
    <cellStyle name="表示済みのハイパーリンク" xfId="1982" builtinId="9" hidden="1"/>
    <cellStyle name="表示済みのハイパーリンク" xfId="1984" builtinId="9" hidden="1"/>
    <cellStyle name="表示済みのハイパーリンク" xfId="1986" builtinId="9" hidden="1"/>
    <cellStyle name="表示済みのハイパーリンク" xfId="1988" builtinId="9" hidden="1"/>
    <cellStyle name="表示済みのハイパーリンク" xfId="1990" builtinId="9" hidden="1"/>
    <cellStyle name="表示済みのハイパーリンク" xfId="1992" builtinId="9" hidden="1"/>
    <cellStyle name="表示済みのハイパーリンク" xfId="1994" builtinId="9" hidden="1"/>
    <cellStyle name="表示済みのハイパーリンク" xfId="1996" builtinId="9" hidden="1"/>
    <cellStyle name="表示済みのハイパーリンク" xfId="1998" builtinId="9" hidden="1"/>
    <cellStyle name="表示済みのハイパーリンク" xfId="2000" builtinId="9" hidden="1"/>
    <cellStyle name="表示済みのハイパーリンク" xfId="2002" builtinId="9" hidden="1"/>
    <cellStyle name="表示済みのハイパーリンク" xfId="2004" builtinId="9" hidden="1"/>
    <cellStyle name="表示済みのハイパーリンク" xfId="2006" builtinId="9" hidden="1"/>
    <cellStyle name="表示済みのハイパーリンク" xfId="2008" builtinId="9" hidden="1"/>
    <cellStyle name="表示済みのハイパーリンク" xfId="2010" builtinId="9" hidden="1"/>
    <cellStyle name="表示済みのハイパーリンク" xfId="2012" builtinId="9" hidden="1"/>
    <cellStyle name="表示済みのハイパーリンク" xfId="2014" builtinId="9" hidden="1"/>
    <cellStyle name="表示済みのハイパーリンク" xfId="2016" builtinId="9" hidden="1"/>
    <cellStyle name="表示済みのハイパーリンク" xfId="2018" builtinId="9" hidden="1"/>
    <cellStyle name="表示済みのハイパーリンク" xfId="2020" builtinId="9" hidden="1"/>
    <cellStyle name="表示済みのハイパーリンク" xfId="2022" builtinId="9" hidden="1"/>
    <cellStyle name="表示済みのハイパーリンク" xfId="2024" builtinId="9" hidden="1"/>
    <cellStyle name="表示済みのハイパーリンク" xfId="2026" builtinId="9" hidden="1"/>
    <cellStyle name="表示済みのハイパーリンク" xfId="2028" builtinId="9" hidden="1"/>
    <cellStyle name="表示済みのハイパーリンク" xfId="2030" builtinId="9" hidden="1"/>
    <cellStyle name="表示済みのハイパーリンク" xfId="2032" builtinId="9" hidden="1"/>
    <cellStyle name="表示済みのハイパーリンク" xfId="2034" builtinId="9" hidden="1"/>
    <cellStyle name="表示済みのハイパーリンク" xfId="2036" builtinId="9" hidden="1"/>
    <cellStyle name="表示済みのハイパーリンク" xfId="2038" builtinId="9" hidden="1"/>
    <cellStyle name="表示済みのハイパーリンク" xfId="2040" builtinId="9" hidden="1"/>
    <cellStyle name="表示済みのハイパーリンク" xfId="2042" builtinId="9" hidden="1"/>
    <cellStyle name="表示済みのハイパーリンク" xfId="2044" builtinId="9" hidden="1"/>
    <cellStyle name="表示済みのハイパーリンク" xfId="2046" builtinId="9" hidden="1"/>
    <cellStyle name="表示済みのハイパーリンク" xfId="2048" builtinId="9" hidden="1"/>
    <cellStyle name="表示済みのハイパーリンク" xfId="2050" builtinId="9" hidden="1"/>
    <cellStyle name="表示済みのハイパーリンク" xfId="2052" builtinId="9" hidden="1"/>
    <cellStyle name="表示済みのハイパーリンク" xfId="2054" builtinId="9" hidden="1"/>
    <cellStyle name="表示済みのハイパーリンク" xfId="2056" builtinId="9" hidden="1"/>
    <cellStyle name="表示済みのハイパーリンク" xfId="2058" builtinId="9" hidden="1"/>
    <cellStyle name="表示済みのハイパーリンク" xfId="2060" builtinId="9" hidden="1"/>
    <cellStyle name="表示済みのハイパーリンク" xfId="2062" builtinId="9" hidden="1"/>
    <cellStyle name="表示済みのハイパーリンク" xfId="2064" builtinId="9" hidden="1"/>
    <cellStyle name="表示済みのハイパーリンク" xfId="2066" builtinId="9" hidden="1"/>
    <cellStyle name="表示済みのハイパーリンク" xfId="2068" builtinId="9" hidden="1"/>
    <cellStyle name="表示済みのハイパーリンク" xfId="2070" builtinId="9" hidden="1"/>
    <cellStyle name="表示済みのハイパーリンク" xfId="2072" builtinId="9" hidden="1"/>
    <cellStyle name="表示済みのハイパーリンク" xfId="2074" builtinId="9" hidden="1"/>
    <cellStyle name="表示済みのハイパーリンク" xfId="2076" builtinId="9" hidden="1"/>
    <cellStyle name="表示済みのハイパーリンク" xfId="2078" builtinId="9" hidden="1"/>
    <cellStyle name="表示済みのハイパーリンク" xfId="2080" builtinId="9" hidden="1"/>
    <cellStyle name="表示済みのハイパーリンク" xfId="2082" builtinId="9" hidden="1"/>
    <cellStyle name="表示済みのハイパーリンク" xfId="2084" builtinId="9" hidden="1"/>
    <cellStyle name="表示済みのハイパーリンク" xfId="2086" builtinId="9" hidden="1"/>
    <cellStyle name="表示済みのハイパーリンク" xfId="2088" builtinId="9" hidden="1"/>
    <cellStyle name="表示済みのハイパーリンク" xfId="2090" builtinId="9" hidden="1"/>
    <cellStyle name="表示済みのハイパーリンク" xfId="2092" builtinId="9" hidden="1"/>
    <cellStyle name="表示済みのハイパーリンク" xfId="2094" builtinId="9" hidden="1"/>
    <cellStyle name="表示済みのハイパーリンク" xfId="2096" builtinId="9" hidden="1"/>
    <cellStyle name="表示済みのハイパーリンク" xfId="2098" builtinId="9" hidden="1"/>
    <cellStyle name="表示済みのハイパーリンク" xfId="2100" builtinId="9" hidden="1"/>
    <cellStyle name="表示済みのハイパーリンク" xfId="2102" builtinId="9" hidden="1"/>
    <cellStyle name="表示済みのハイパーリンク" xfId="2104" builtinId="9" hidden="1"/>
    <cellStyle name="表示済みのハイパーリンク" xfId="2106" builtinId="9" hidden="1"/>
    <cellStyle name="表示済みのハイパーリンク" xfId="2108" builtinId="9" hidden="1"/>
    <cellStyle name="表示済みのハイパーリンク" xfId="2110" builtinId="9" hidden="1"/>
    <cellStyle name="表示済みのハイパーリンク" xfId="2112" builtinId="9" hidden="1"/>
    <cellStyle name="表示済みのハイパーリンク" xfId="2114" builtinId="9" hidden="1"/>
    <cellStyle name="表示済みのハイパーリンク" xfId="2116" builtinId="9" hidden="1"/>
    <cellStyle name="表示済みのハイパーリンク" xfId="2118" builtinId="9" hidden="1"/>
    <cellStyle name="表示済みのハイパーリンク" xfId="2120" builtinId="9" hidden="1"/>
    <cellStyle name="表示済みのハイパーリンク" xfId="2122" builtinId="9" hidden="1"/>
    <cellStyle name="表示済みのハイパーリンク" xfId="2124" builtinId="9" hidden="1"/>
    <cellStyle name="表示済みのハイパーリンク" xfId="2126" builtinId="9" hidden="1"/>
    <cellStyle name="表示済みのハイパーリンク" xfId="2128" builtinId="9" hidden="1"/>
    <cellStyle name="表示済みのハイパーリンク" xfId="2130" builtinId="9" hidden="1"/>
    <cellStyle name="表示済みのハイパーリンク" xfId="2132" builtinId="9" hidden="1"/>
    <cellStyle name="表示済みのハイパーリンク" xfId="2134" builtinId="9" hidden="1"/>
    <cellStyle name="表示済みのハイパーリンク" xfId="2136" builtinId="9" hidden="1"/>
    <cellStyle name="表示済みのハイパーリンク" xfId="2138" builtinId="9" hidden="1"/>
    <cellStyle name="表示済みのハイパーリンク" xfId="2140" builtinId="9" hidden="1"/>
    <cellStyle name="表示済みのハイパーリンク" xfId="2142" builtinId="9" hidden="1"/>
    <cellStyle name="表示済みのハイパーリンク" xfId="2144" builtinId="9" hidden="1"/>
    <cellStyle name="表示済みのハイパーリンク" xfId="2146" builtinId="9" hidden="1"/>
    <cellStyle name="表示済みのハイパーリンク" xfId="2148" builtinId="9" hidden="1"/>
    <cellStyle name="表示済みのハイパーリンク" xfId="2150" builtinId="9" hidden="1"/>
    <cellStyle name="表示済みのハイパーリンク" xfId="2152" builtinId="9" hidden="1"/>
    <cellStyle name="表示済みのハイパーリンク" xfId="2154" builtinId="9" hidden="1"/>
    <cellStyle name="表示済みのハイパーリンク" xfId="2156" builtinId="9" hidden="1"/>
    <cellStyle name="表示済みのハイパーリンク" xfId="2158" builtinId="9" hidden="1"/>
    <cellStyle name="表示済みのハイパーリンク" xfId="2160" builtinId="9" hidden="1"/>
    <cellStyle name="表示済みのハイパーリンク" xfId="2162" builtinId="9" hidden="1"/>
    <cellStyle name="表示済みのハイパーリンク" xfId="2164" builtinId="9" hidden="1"/>
    <cellStyle name="表示済みのハイパーリンク" xfId="2166" builtinId="9" hidden="1"/>
    <cellStyle name="表示済みのハイパーリンク" xfId="2168" builtinId="9" hidden="1"/>
    <cellStyle name="表示済みのハイパーリンク" xfId="2170" builtinId="9" hidden="1"/>
    <cellStyle name="表示済みのハイパーリンク" xfId="2172" builtinId="9" hidden="1"/>
    <cellStyle name="表示済みのハイパーリンク" xfId="2174" builtinId="9" hidden="1"/>
    <cellStyle name="表示済みのハイパーリンク" xfId="2176" builtinId="9" hidden="1"/>
    <cellStyle name="表示済みのハイパーリンク" xfId="2178" builtinId="9" hidden="1"/>
    <cellStyle name="表示済みのハイパーリンク" xfId="2180" builtinId="9" hidden="1"/>
    <cellStyle name="表示済みのハイパーリンク" xfId="2182" builtinId="9" hidden="1"/>
    <cellStyle name="表示済みのハイパーリンク" xfId="2184" builtinId="9" hidden="1"/>
    <cellStyle name="表示済みのハイパーリンク" xfId="2186" builtinId="9" hidden="1"/>
    <cellStyle name="表示済みのハイパーリンク" xfId="2188" builtinId="9" hidden="1"/>
    <cellStyle name="表示済みのハイパーリンク" xfId="2190" builtinId="9" hidden="1"/>
    <cellStyle name="表示済みのハイパーリンク" xfId="2192" builtinId="9" hidden="1"/>
    <cellStyle name="表示済みのハイパーリンク" xfId="2194" builtinId="9" hidden="1"/>
    <cellStyle name="表示済みのハイパーリンク" xfId="2196" builtinId="9" hidden="1"/>
    <cellStyle name="表示済みのハイパーリンク" xfId="2198" builtinId="9" hidden="1"/>
    <cellStyle name="表示済みのハイパーリンク" xfId="2200" builtinId="9" hidden="1"/>
    <cellStyle name="表示済みのハイパーリンク" xfId="2202" builtinId="9" hidden="1"/>
    <cellStyle name="表示済みのハイパーリンク" xfId="2204" builtinId="9" hidden="1"/>
    <cellStyle name="表示済みのハイパーリンク" xfId="2206" builtinId="9" hidden="1"/>
    <cellStyle name="表示済みのハイパーリンク" xfId="2208" builtinId="9" hidden="1"/>
    <cellStyle name="表示済みのハイパーリンク" xfId="2210" builtinId="9" hidden="1"/>
    <cellStyle name="表示済みのハイパーリンク" xfId="2212" builtinId="9" hidden="1"/>
    <cellStyle name="表示済みのハイパーリンク" xfId="2214" builtinId="9" hidden="1"/>
    <cellStyle name="表示済みのハイパーリンク" xfId="2216" builtinId="9" hidden="1"/>
    <cellStyle name="表示済みのハイパーリンク" xfId="2218" builtinId="9" hidden="1"/>
    <cellStyle name="表示済みのハイパーリンク" xfId="2220" builtinId="9" hidden="1"/>
    <cellStyle name="表示済みのハイパーリンク" xfId="2222" builtinId="9" hidden="1"/>
    <cellStyle name="表示済みのハイパーリンク" xfId="2224" builtinId="9" hidden="1"/>
    <cellStyle name="表示済みのハイパーリンク" xfId="2226" builtinId="9" hidden="1"/>
    <cellStyle name="表示済みのハイパーリンク" xfId="2228" builtinId="9" hidden="1"/>
    <cellStyle name="表示済みのハイパーリンク" xfId="2230" builtinId="9" hidden="1"/>
    <cellStyle name="表示済みのハイパーリンク" xfId="2232" builtinId="9" hidden="1"/>
    <cellStyle name="表示済みのハイパーリンク" xfId="2234" builtinId="9" hidden="1"/>
    <cellStyle name="表示済みのハイパーリンク" xfId="2236" builtinId="9" hidden="1"/>
    <cellStyle name="表示済みのハイパーリンク" xfId="2238" builtinId="9" hidden="1"/>
    <cellStyle name="表示済みのハイパーリンク" xfId="2240" builtinId="9" hidden="1"/>
    <cellStyle name="表示済みのハイパーリンク" xfId="2242" builtinId="9" hidden="1"/>
    <cellStyle name="表示済みのハイパーリンク" xfId="2244" builtinId="9" hidden="1"/>
    <cellStyle name="表示済みのハイパーリンク" xfId="2246" builtinId="9" hidden="1"/>
    <cellStyle name="表示済みのハイパーリンク" xfId="2248" builtinId="9" hidden="1"/>
    <cellStyle name="表示済みのハイパーリンク" xfId="2250" builtinId="9" hidden="1"/>
    <cellStyle name="表示済みのハイパーリンク" xfId="2252" builtinId="9" hidden="1"/>
    <cellStyle name="表示済みのハイパーリンク" xfId="2254" builtinId="9" hidden="1"/>
    <cellStyle name="表示済みのハイパーリンク" xfId="2256" builtinId="9" hidden="1"/>
    <cellStyle name="表示済みのハイパーリンク" xfId="2258" builtinId="9" hidden="1"/>
    <cellStyle name="表示済みのハイパーリンク" xfId="2260" builtinId="9" hidden="1"/>
    <cellStyle name="表示済みのハイパーリンク" xfId="2262" builtinId="9" hidden="1"/>
    <cellStyle name="表示済みのハイパーリンク" xfId="2264" builtinId="9" hidden="1"/>
    <cellStyle name="表示済みのハイパーリンク" xfId="2266" builtinId="9" hidden="1"/>
    <cellStyle name="表示済みのハイパーリンク" xfId="2268" builtinId="9" hidden="1"/>
    <cellStyle name="表示済みのハイパーリンク" xfId="2270" builtinId="9" hidden="1"/>
    <cellStyle name="表示済みのハイパーリンク" xfId="2272" builtinId="9" hidden="1"/>
    <cellStyle name="表示済みのハイパーリンク" xfId="2274" builtinId="9" hidden="1"/>
    <cellStyle name="表示済みのハイパーリンク" xfId="2276" builtinId="9" hidden="1"/>
    <cellStyle name="表示済みのハイパーリンク" xfId="2278" builtinId="9" hidden="1"/>
    <cellStyle name="表示済みのハイパーリンク" xfId="2280" builtinId="9" hidden="1"/>
    <cellStyle name="表示済みのハイパーリンク" xfId="2282" builtinId="9" hidden="1"/>
    <cellStyle name="表示済みのハイパーリンク" xfId="2284" builtinId="9" hidden="1"/>
    <cellStyle name="表示済みのハイパーリンク" xfId="2286" builtinId="9" hidden="1"/>
    <cellStyle name="表示済みのハイパーリンク" xfId="2288" builtinId="9" hidden="1"/>
    <cellStyle name="表示済みのハイパーリンク" xfId="2290" builtinId="9" hidden="1"/>
    <cellStyle name="表示済みのハイパーリンク" xfId="2292" builtinId="9" hidden="1"/>
    <cellStyle name="表示済みのハイパーリンク" xfId="2294" builtinId="9" hidden="1"/>
    <cellStyle name="表示済みのハイパーリンク" xfId="2296" builtinId="9" hidden="1"/>
    <cellStyle name="表示済みのハイパーリンク" xfId="2298" builtinId="9" hidden="1"/>
    <cellStyle name="表示済みのハイパーリンク" xfId="2300" builtinId="9" hidden="1"/>
    <cellStyle name="表示済みのハイパーリンク" xfId="2302" builtinId="9" hidden="1"/>
    <cellStyle name="表示済みのハイパーリンク" xfId="2304" builtinId="9" hidden="1"/>
    <cellStyle name="表示済みのハイパーリンク" xfId="2306" builtinId="9" hidden="1"/>
    <cellStyle name="表示済みのハイパーリンク" xfId="2308" builtinId="9" hidden="1"/>
    <cellStyle name="表示済みのハイパーリンク" xfId="2310" builtinId="9" hidden="1"/>
    <cellStyle name="表示済みのハイパーリンク" xfId="2312" builtinId="9" hidden="1"/>
    <cellStyle name="表示済みのハイパーリンク" xfId="2314" builtinId="9" hidden="1"/>
    <cellStyle name="表示済みのハイパーリンク" xfId="2316" builtinId="9" hidden="1"/>
    <cellStyle name="表示済みのハイパーリンク" xfId="2318" builtinId="9" hidden="1"/>
    <cellStyle name="表示済みのハイパーリンク" xfId="2320" builtinId="9" hidden="1"/>
    <cellStyle name="表示済みのハイパーリンク" xfId="2322" builtinId="9" hidden="1"/>
    <cellStyle name="表示済みのハイパーリンク" xfId="2324" builtinId="9" hidden="1"/>
    <cellStyle name="表示済みのハイパーリンク" xfId="2326" builtinId="9" hidden="1"/>
    <cellStyle name="表示済みのハイパーリンク" xfId="2328" builtinId="9" hidden="1"/>
    <cellStyle name="表示済みのハイパーリンク" xfId="2330" builtinId="9" hidden="1"/>
    <cellStyle name="表示済みのハイパーリンク" xfId="2332" builtinId="9" hidden="1"/>
    <cellStyle name="表示済みのハイパーリンク" xfId="2334" builtinId="9" hidden="1"/>
    <cellStyle name="表示済みのハイパーリンク" xfId="2336" builtinId="9" hidden="1"/>
    <cellStyle name="表示済みのハイパーリンク" xfId="2338" builtinId="9" hidden="1"/>
    <cellStyle name="表示済みのハイパーリンク" xfId="2340" builtinId="9" hidden="1"/>
    <cellStyle name="表示済みのハイパーリンク" xfId="2342" builtinId="9" hidden="1"/>
    <cellStyle name="表示済みのハイパーリンク" xfId="2344" builtinId="9" hidden="1"/>
    <cellStyle name="表示済みのハイパーリンク" xfId="2346" builtinId="9" hidden="1"/>
    <cellStyle name="表示済みのハイパーリンク" xfId="2348" builtinId="9" hidden="1"/>
    <cellStyle name="表示済みのハイパーリンク" xfId="2350" builtinId="9" hidden="1"/>
    <cellStyle name="表示済みのハイパーリンク" xfId="2352" builtinId="9" hidden="1"/>
    <cellStyle name="表示済みのハイパーリンク" xfId="2354" builtinId="9" hidden="1"/>
    <cellStyle name="表示済みのハイパーリンク" xfId="2356" builtinId="9" hidden="1"/>
    <cellStyle name="表示済みのハイパーリンク" xfId="2358" builtinId="9" hidden="1"/>
    <cellStyle name="表示済みのハイパーリンク" xfId="2360" builtinId="9" hidden="1"/>
    <cellStyle name="表示済みのハイパーリンク" xfId="2362" builtinId="9" hidden="1"/>
    <cellStyle name="表示済みのハイパーリンク" xfId="2364" builtinId="9" hidden="1"/>
    <cellStyle name="表示済みのハイパーリンク" xfId="2366" builtinId="9" hidden="1"/>
    <cellStyle name="表示済みのハイパーリンク" xfId="2368" builtinId="9" hidden="1"/>
    <cellStyle name="表示済みのハイパーリンク" xfId="2370" builtinId="9" hidden="1"/>
    <cellStyle name="表示済みのハイパーリンク" xfId="2372" builtinId="9" hidden="1"/>
    <cellStyle name="表示済みのハイパーリンク" xfId="2374" builtinId="9" hidden="1"/>
    <cellStyle name="表示済みのハイパーリンク" xfId="2376" builtinId="9" hidden="1"/>
    <cellStyle name="表示済みのハイパーリンク" xfId="2378" builtinId="9" hidden="1"/>
    <cellStyle name="表示済みのハイパーリンク" xfId="2380" builtinId="9" hidden="1"/>
    <cellStyle name="表示済みのハイパーリンク" xfId="2382" builtinId="9" hidden="1"/>
    <cellStyle name="表示済みのハイパーリンク" xfId="2384" builtinId="9" hidden="1"/>
    <cellStyle name="表示済みのハイパーリンク" xfId="2386" builtinId="9" hidden="1"/>
    <cellStyle name="表示済みのハイパーリンク" xfId="2388" builtinId="9" hidden="1"/>
    <cellStyle name="表示済みのハイパーリンク" xfId="2390" builtinId="9" hidden="1"/>
    <cellStyle name="表示済みのハイパーリンク" xfId="2392" builtinId="9" hidden="1"/>
    <cellStyle name="表示済みのハイパーリンク" xfId="2394" builtinId="9" hidden="1"/>
    <cellStyle name="表示済みのハイパーリンク" xfId="2396" builtinId="9" hidden="1"/>
    <cellStyle name="表示済みのハイパーリンク" xfId="2398" builtinId="9" hidden="1"/>
    <cellStyle name="表示済みのハイパーリンク" xfId="2400" builtinId="9" hidden="1"/>
    <cellStyle name="表示済みのハイパーリンク" xfId="2402" builtinId="9" hidden="1"/>
    <cellStyle name="表示済みのハイパーリンク" xfId="2404" builtinId="9" hidden="1"/>
    <cellStyle name="表示済みのハイパーリンク" xfId="2406" builtinId="9" hidden="1"/>
    <cellStyle name="表示済みのハイパーリンク" xfId="2408" builtinId="9" hidden="1"/>
    <cellStyle name="表示済みのハイパーリンク" xfId="2410" builtinId="9" hidden="1"/>
    <cellStyle name="表示済みのハイパーリンク" xfId="2412" builtinId="9" hidden="1"/>
    <cellStyle name="表示済みのハイパーリンク" xfId="2414" builtinId="9" hidden="1"/>
    <cellStyle name="表示済みのハイパーリンク" xfId="2416" builtinId="9" hidden="1"/>
    <cellStyle name="表示済みのハイパーリンク" xfId="2418" builtinId="9" hidden="1"/>
    <cellStyle name="表示済みのハイパーリンク" xfId="2420" builtinId="9" hidden="1"/>
    <cellStyle name="表示済みのハイパーリンク" xfId="2422" builtinId="9" hidden="1"/>
    <cellStyle name="表示済みのハイパーリンク" xfId="2424" builtinId="9" hidden="1"/>
    <cellStyle name="表示済みのハイパーリンク" xfId="2426" builtinId="9" hidden="1"/>
    <cellStyle name="表示済みのハイパーリンク" xfId="2428" builtinId="9" hidden="1"/>
    <cellStyle name="表示済みのハイパーリンク" xfId="2430" builtinId="9" hidden="1"/>
    <cellStyle name="表示済みのハイパーリンク" xfId="2432" builtinId="9" hidden="1"/>
    <cellStyle name="表示済みのハイパーリンク" xfId="2434" builtinId="9" hidden="1"/>
    <cellStyle name="表示済みのハイパーリンク" xfId="2436" builtinId="9" hidden="1"/>
    <cellStyle name="表示済みのハイパーリンク" xfId="2438" builtinId="9" hidden="1"/>
    <cellStyle name="表示済みのハイパーリンク" xfId="2440" builtinId="9" hidden="1"/>
    <cellStyle name="表示済みのハイパーリンク" xfId="2442" builtinId="9" hidden="1"/>
    <cellStyle name="表示済みのハイパーリンク" xfId="2444" builtinId="9" hidden="1"/>
    <cellStyle name="表示済みのハイパーリンク" xfId="2446" builtinId="9" hidden="1"/>
    <cellStyle name="表示済みのハイパーリンク" xfId="2448" builtinId="9" hidden="1"/>
    <cellStyle name="表示済みのハイパーリンク" xfId="2450" builtinId="9" hidden="1"/>
    <cellStyle name="表示済みのハイパーリンク" xfId="2452" builtinId="9" hidden="1"/>
    <cellStyle name="表示済みのハイパーリンク" xfId="2454" builtinId="9" hidden="1"/>
    <cellStyle name="表示済みのハイパーリンク" xfId="2456" builtinId="9" hidden="1"/>
    <cellStyle name="表示済みのハイパーリンク" xfId="2458" builtinId="9" hidden="1"/>
    <cellStyle name="表示済みのハイパーリンク" xfId="2460" builtinId="9" hidden="1"/>
    <cellStyle name="表示済みのハイパーリンク" xfId="2462" builtinId="9" hidden="1"/>
    <cellStyle name="表示済みのハイパーリンク" xfId="2464" builtinId="9" hidden="1"/>
    <cellStyle name="表示済みのハイパーリンク" xfId="2466" builtinId="9" hidden="1"/>
    <cellStyle name="表示済みのハイパーリンク" xfId="2468" builtinId="9" hidden="1"/>
    <cellStyle name="表示済みのハイパーリンク" xfId="2470" builtinId="9" hidden="1"/>
    <cellStyle name="表示済みのハイパーリンク" xfId="2472" builtinId="9" hidden="1"/>
    <cellStyle name="表示済みのハイパーリンク" xfId="2474" builtinId="9" hidden="1"/>
    <cellStyle name="表示済みのハイパーリンク" xfId="2476" builtinId="9" hidden="1"/>
    <cellStyle name="表示済みのハイパーリンク" xfId="2478" builtinId="9" hidden="1"/>
    <cellStyle name="表示済みのハイパーリンク" xfId="2480" builtinId="9" hidden="1"/>
    <cellStyle name="表示済みのハイパーリンク" xfId="2482" builtinId="9" hidden="1"/>
    <cellStyle name="表示済みのハイパーリンク" xfId="2484" builtinId="9" hidden="1"/>
    <cellStyle name="表示済みのハイパーリンク" xfId="2486" builtinId="9" hidden="1"/>
    <cellStyle name="表示済みのハイパーリンク" xfId="2488" builtinId="9" hidden="1"/>
    <cellStyle name="表示済みのハイパーリンク" xfId="2490" builtinId="9" hidden="1"/>
    <cellStyle name="表示済みのハイパーリンク" xfId="2492" builtinId="9" hidden="1"/>
    <cellStyle name="表示済みのハイパーリンク" xfId="2494" builtinId="9" hidden="1"/>
    <cellStyle name="表示済みのハイパーリンク" xfId="2496" builtinId="9" hidden="1"/>
    <cellStyle name="表示済みのハイパーリンク" xfId="2498" builtinId="9" hidden="1"/>
    <cellStyle name="表示済みのハイパーリンク" xfId="2500" builtinId="9" hidden="1"/>
    <cellStyle name="表示済みのハイパーリンク" xfId="2502" builtinId="9" hidden="1"/>
    <cellStyle name="表示済みのハイパーリンク" xfId="2504" builtinId="9" hidden="1"/>
    <cellStyle name="表示済みのハイパーリンク" xfId="2506" builtinId="9" hidden="1"/>
    <cellStyle name="表示済みのハイパーリンク" xfId="2508" builtinId="9" hidden="1"/>
    <cellStyle name="表示済みのハイパーリンク" xfId="2510" builtinId="9" hidden="1"/>
    <cellStyle name="表示済みのハイパーリンク" xfId="2512" builtinId="9" hidden="1"/>
    <cellStyle name="表示済みのハイパーリンク" xfId="2514" builtinId="9" hidden="1"/>
    <cellStyle name="表示済みのハイパーリンク" xfId="2516" builtinId="9" hidden="1"/>
    <cellStyle name="表示済みのハイパーリンク" xfId="2518" builtinId="9" hidden="1"/>
    <cellStyle name="表示済みのハイパーリンク" xfId="2520" builtinId="9" hidden="1"/>
    <cellStyle name="表示済みのハイパーリンク" xfId="2522" builtinId="9" hidden="1"/>
    <cellStyle name="表示済みのハイパーリンク" xfId="2524" builtinId="9" hidden="1"/>
    <cellStyle name="表示済みのハイパーリンク" xfId="2526" builtinId="9" hidden="1"/>
    <cellStyle name="表示済みのハイパーリンク" xfId="2528" builtinId="9" hidden="1"/>
    <cellStyle name="表示済みのハイパーリンク" xfId="2530" builtinId="9" hidden="1"/>
    <cellStyle name="表示済みのハイパーリンク" xfId="2532" builtinId="9" hidden="1"/>
    <cellStyle name="表示済みのハイパーリンク" xfId="2534" builtinId="9" hidden="1"/>
    <cellStyle name="表示済みのハイパーリンク" xfId="2536" builtinId="9" hidden="1"/>
    <cellStyle name="表示済みのハイパーリンク" xfId="2538" builtinId="9" hidden="1"/>
    <cellStyle name="表示済みのハイパーリンク" xfId="2540" builtinId="9" hidden="1"/>
    <cellStyle name="表示済みのハイパーリンク" xfId="2542" builtinId="9" hidden="1"/>
    <cellStyle name="表示済みのハイパーリンク" xfId="2544" builtinId="9" hidden="1"/>
    <cellStyle name="表示済みのハイパーリンク" xfId="2546" builtinId="9" hidden="1"/>
    <cellStyle name="表示済みのハイパーリンク" xfId="2548" builtinId="9" hidden="1"/>
    <cellStyle name="表示済みのハイパーリンク" xfId="2550" builtinId="9" hidden="1"/>
    <cellStyle name="表示済みのハイパーリンク" xfId="2552" builtinId="9" hidden="1"/>
    <cellStyle name="表示済みのハイパーリンク" xfId="2554" builtinId="9" hidden="1"/>
    <cellStyle name="表示済みのハイパーリンク" xfId="2556" builtinId="9" hidden="1"/>
    <cellStyle name="表示済みのハイパーリンク" xfId="2558" builtinId="9" hidden="1"/>
    <cellStyle name="表示済みのハイパーリンク" xfId="2560" builtinId="9" hidden="1"/>
    <cellStyle name="表示済みのハイパーリンク" xfId="2562" builtinId="9" hidden="1"/>
    <cellStyle name="表示済みのハイパーリンク" xfId="2564" builtinId="9" hidden="1"/>
    <cellStyle name="表示済みのハイパーリンク" xfId="2566" builtinId="9" hidden="1"/>
    <cellStyle name="表示済みのハイパーリンク" xfId="2568" builtinId="9" hidden="1"/>
    <cellStyle name="表示済みのハイパーリンク" xfId="2570" builtinId="9" hidden="1"/>
    <cellStyle name="表示済みのハイパーリンク" xfId="2572" builtinId="9" hidden="1"/>
    <cellStyle name="表示済みのハイパーリンク" xfId="2574" builtinId="9" hidden="1"/>
    <cellStyle name="表示済みのハイパーリンク" xfId="2576" builtinId="9" hidden="1"/>
    <cellStyle name="表示済みのハイパーリンク" xfId="2578" builtinId="9" hidden="1"/>
    <cellStyle name="表示済みのハイパーリンク" xfId="2580" builtinId="9" hidden="1"/>
    <cellStyle name="表示済みのハイパーリンク" xfId="2582" builtinId="9" hidden="1"/>
    <cellStyle name="表示済みのハイパーリンク" xfId="258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モーター定数!$B$60:$FZ$60</c:f>
              <c:numCache>
                <c:formatCode>General</c:formatCode>
                <c:ptCount val="18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0.22495105434386498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0.29237170472273671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0.54463903501502697</c:v>
                </c:pt>
                <c:pt idx="34">
                  <c:v>0.55919290347074679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0.6293203910498375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0.7547095802227719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0.7880107536067219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0.92718385456678731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0.97814760073380569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0.74314482547739447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0.69465837045899748</c:v>
                </c:pt>
                <c:pt idx="137">
                  <c:v>0.68199836006249859</c:v>
                </c:pt>
                <c:pt idx="138">
                  <c:v>0.66913060635885802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0.43837114678907768</c:v>
                </c:pt>
                <c:pt idx="155">
                  <c:v>0.4226182617406995</c:v>
                </c:pt>
                <c:pt idx="156">
                  <c:v>0.40673664307580004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0.35836794954530066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0.17364817766693069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5.2335956242944251E-2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D-48F0-ACA6-740BE949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189752"/>
        <c:axId val="-2123270840"/>
      </c:lineChart>
      <c:catAx>
        <c:axId val="210318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70840"/>
        <c:crosses val="autoZero"/>
        <c:auto val="1"/>
        <c:lblAlgn val="ctr"/>
        <c:lblOffset val="100"/>
        <c:noMultiLvlLbl val="0"/>
      </c:catAx>
      <c:valAx>
        <c:axId val="-212327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8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57217847768998E-2"/>
          <c:y val="2.0725388601036301E-2"/>
          <c:w val="0.86306548462017796"/>
          <c:h val="0.9337709599771529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LED電流!$B$68:$B$77</c:f>
              <c:numCache>
                <c:formatCode>General</c:formatCode>
                <c:ptCount val="10"/>
                <c:pt idx="0">
                  <c:v>1800</c:v>
                </c:pt>
                <c:pt idx="1">
                  <c:v>1900</c:v>
                </c:pt>
                <c:pt idx="2">
                  <c:v>2000</c:v>
                </c:pt>
                <c:pt idx="3">
                  <c:v>2200</c:v>
                </c:pt>
                <c:pt idx="4">
                  <c:v>2500</c:v>
                </c:pt>
                <c:pt idx="5">
                  <c:v>3000</c:v>
                </c:pt>
                <c:pt idx="6">
                  <c:v>3600</c:v>
                </c:pt>
                <c:pt idx="7">
                  <c:v>4500</c:v>
                </c:pt>
                <c:pt idx="8">
                  <c:v>5400</c:v>
                </c:pt>
                <c:pt idx="9">
                  <c:v>6300</c:v>
                </c:pt>
              </c:numCache>
            </c:numRef>
          </c:xVal>
          <c:yVal>
            <c:numRef>
              <c:f>LED電流!$G$68:$G$77</c:f>
              <c:numCache>
                <c:formatCode>General</c:formatCode>
                <c:ptCount val="10"/>
                <c:pt idx="0">
                  <c:v>0.64604651162790705</c:v>
                </c:pt>
                <c:pt idx="1">
                  <c:v>0.96697674418604651</c:v>
                </c:pt>
                <c:pt idx="2">
                  <c:v>1.314418604651163</c:v>
                </c:pt>
                <c:pt idx="3">
                  <c:v>2.0186046511627906</c:v>
                </c:pt>
                <c:pt idx="4">
                  <c:v>3.1906976744186046</c:v>
                </c:pt>
                <c:pt idx="5">
                  <c:v>5.1860465116279073</c:v>
                </c:pt>
                <c:pt idx="6">
                  <c:v>7.6790697674418604</c:v>
                </c:pt>
                <c:pt idx="7">
                  <c:v>11.488372093023257</c:v>
                </c:pt>
                <c:pt idx="8">
                  <c:v>15.302325581395349</c:v>
                </c:pt>
                <c:pt idx="9">
                  <c:v>19.162790697674417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1-400B-9E52-CD92E723CE98}"/>
            </c:ext>
          </c:extLst>
        </c:ser>
        <c:ser>
          <c:idx val="1"/>
          <c:order val="1"/>
          <c:xVal>
            <c:numRef>
              <c:f>LED電流!$B$68:$B$77</c:f>
              <c:numCache>
                <c:formatCode>General</c:formatCode>
                <c:ptCount val="10"/>
                <c:pt idx="0">
                  <c:v>1800</c:v>
                </c:pt>
                <c:pt idx="1">
                  <c:v>1900</c:v>
                </c:pt>
                <c:pt idx="2">
                  <c:v>2000</c:v>
                </c:pt>
                <c:pt idx="3">
                  <c:v>2200</c:v>
                </c:pt>
                <c:pt idx="4">
                  <c:v>2500</c:v>
                </c:pt>
                <c:pt idx="5">
                  <c:v>3000</c:v>
                </c:pt>
                <c:pt idx="6">
                  <c:v>3600</c:v>
                </c:pt>
                <c:pt idx="7">
                  <c:v>4500</c:v>
                </c:pt>
                <c:pt idx="8">
                  <c:v>5400</c:v>
                </c:pt>
                <c:pt idx="9">
                  <c:v>6300</c:v>
                </c:pt>
              </c:numCache>
            </c:numRef>
          </c:xVal>
          <c:yVal>
            <c:numRef>
              <c:f>LED電流!$H$68:$H$77</c:f>
              <c:numCache>
                <c:formatCode>General</c:formatCode>
                <c:ptCount val="10"/>
                <c:pt idx="0">
                  <c:v>0.55720930232558141</c:v>
                </c:pt>
                <c:pt idx="1">
                  <c:v>0.85069767441860467</c:v>
                </c:pt>
                <c:pt idx="2">
                  <c:v>1.1734883720930234</c:v>
                </c:pt>
                <c:pt idx="3">
                  <c:v>1.8418604651162791</c:v>
                </c:pt>
                <c:pt idx="4">
                  <c:v>2.9581395348837209</c:v>
                </c:pt>
                <c:pt idx="5">
                  <c:v>4.8837209302325579</c:v>
                </c:pt>
                <c:pt idx="6">
                  <c:v>7.3069767441860467</c:v>
                </c:pt>
                <c:pt idx="7">
                  <c:v>11.018604651162791</c:v>
                </c:pt>
                <c:pt idx="8">
                  <c:v>14.744186046511627</c:v>
                </c:pt>
                <c:pt idx="9">
                  <c:v>18.511627906976745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D1-400B-9E52-CD92E723CE98}"/>
            </c:ext>
          </c:extLst>
        </c:ser>
        <c:ser>
          <c:idx val="2"/>
          <c:order val="2"/>
          <c:xVal>
            <c:numRef>
              <c:f>LED電流!$B$68:$B$77</c:f>
              <c:numCache>
                <c:formatCode>General</c:formatCode>
                <c:ptCount val="10"/>
                <c:pt idx="0">
                  <c:v>1800</c:v>
                </c:pt>
                <c:pt idx="1">
                  <c:v>1900</c:v>
                </c:pt>
                <c:pt idx="2">
                  <c:v>2000</c:v>
                </c:pt>
                <c:pt idx="3">
                  <c:v>2200</c:v>
                </c:pt>
                <c:pt idx="4">
                  <c:v>2500</c:v>
                </c:pt>
                <c:pt idx="5">
                  <c:v>3000</c:v>
                </c:pt>
                <c:pt idx="6">
                  <c:v>3600</c:v>
                </c:pt>
                <c:pt idx="7">
                  <c:v>4500</c:v>
                </c:pt>
                <c:pt idx="8">
                  <c:v>5400</c:v>
                </c:pt>
                <c:pt idx="9">
                  <c:v>6300</c:v>
                </c:pt>
              </c:numCache>
            </c:numRef>
          </c:xVal>
          <c:yVal>
            <c:numRef>
              <c:f>LED電流!$I$68:$I$77</c:f>
              <c:numCache>
                <c:formatCode>General</c:formatCode>
                <c:ptCount val="10"/>
                <c:pt idx="0">
                  <c:v>0.27069767441860465</c:v>
                </c:pt>
                <c:pt idx="1">
                  <c:v>0.52465116279069768</c:v>
                </c:pt>
                <c:pt idx="2">
                  <c:v>0.82093023255813957</c:v>
                </c:pt>
                <c:pt idx="3">
                  <c:v>1.4511627906976745</c:v>
                </c:pt>
                <c:pt idx="4">
                  <c:v>2.5348837209302326</c:v>
                </c:pt>
                <c:pt idx="5">
                  <c:v>4.4325581395348834</c:v>
                </c:pt>
                <c:pt idx="6">
                  <c:v>6.8604651162790695</c:v>
                </c:pt>
                <c:pt idx="7">
                  <c:v>10.618604651162791</c:v>
                </c:pt>
                <c:pt idx="8">
                  <c:v>14.418604651162791</c:v>
                </c:pt>
                <c:pt idx="9">
                  <c:v>18.279069767441861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D1-400B-9E52-CD92E723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32984"/>
        <c:axId val="-2054722168"/>
      </c:scatterChart>
      <c:valAx>
        <c:axId val="213973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722168"/>
        <c:crosses val="autoZero"/>
        <c:crossBetween val="midCat"/>
      </c:valAx>
      <c:valAx>
        <c:axId val="-205472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732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LED電流!$A$68:$A$77</c:f>
              <c:numCache>
                <c:formatCode>General</c:formatCode>
                <c:ptCount val="10"/>
                <c:pt idx="0">
                  <c:v>582.54222222222222</c:v>
                </c:pt>
                <c:pt idx="1">
                  <c:v>551.88210526315788</c:v>
                </c:pt>
                <c:pt idx="2">
                  <c:v>524.28800000000001</c:v>
                </c:pt>
                <c:pt idx="3">
                  <c:v>476.62545454545455</c:v>
                </c:pt>
                <c:pt idx="4">
                  <c:v>419.43040000000002</c:v>
                </c:pt>
                <c:pt idx="5">
                  <c:v>349.52533333333332</c:v>
                </c:pt>
                <c:pt idx="6">
                  <c:v>291.27111111111111</c:v>
                </c:pt>
                <c:pt idx="7">
                  <c:v>233.0168888888889</c:v>
                </c:pt>
                <c:pt idx="8">
                  <c:v>194.18074074074073</c:v>
                </c:pt>
                <c:pt idx="9">
                  <c:v>166.44063492063492</c:v>
                </c:pt>
              </c:numCache>
            </c:numRef>
          </c:xVal>
          <c:yVal>
            <c:numRef>
              <c:f>LED電流!$G$68:$G$77</c:f>
              <c:numCache>
                <c:formatCode>General</c:formatCode>
                <c:ptCount val="10"/>
                <c:pt idx="0">
                  <c:v>0.64604651162790705</c:v>
                </c:pt>
                <c:pt idx="1">
                  <c:v>0.96697674418604651</c:v>
                </c:pt>
                <c:pt idx="2">
                  <c:v>1.314418604651163</c:v>
                </c:pt>
                <c:pt idx="3">
                  <c:v>2.0186046511627906</c:v>
                </c:pt>
                <c:pt idx="4">
                  <c:v>3.1906976744186046</c:v>
                </c:pt>
                <c:pt idx="5">
                  <c:v>5.1860465116279073</c:v>
                </c:pt>
                <c:pt idx="6">
                  <c:v>7.6790697674418604</c:v>
                </c:pt>
                <c:pt idx="7">
                  <c:v>11.488372093023257</c:v>
                </c:pt>
                <c:pt idx="8">
                  <c:v>15.302325581395349</c:v>
                </c:pt>
                <c:pt idx="9">
                  <c:v>19.162790697674417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6-457C-B95D-1EC58D9EA8F0}"/>
            </c:ext>
          </c:extLst>
        </c:ser>
        <c:ser>
          <c:idx val="1"/>
          <c:order val="1"/>
          <c:xVal>
            <c:numRef>
              <c:f>LED電流!$A$68:$A$77</c:f>
              <c:numCache>
                <c:formatCode>General</c:formatCode>
                <c:ptCount val="10"/>
                <c:pt idx="0">
                  <c:v>582.54222222222222</c:v>
                </c:pt>
                <c:pt idx="1">
                  <c:v>551.88210526315788</c:v>
                </c:pt>
                <c:pt idx="2">
                  <c:v>524.28800000000001</c:v>
                </c:pt>
                <c:pt idx="3">
                  <c:v>476.62545454545455</c:v>
                </c:pt>
                <c:pt idx="4">
                  <c:v>419.43040000000002</c:v>
                </c:pt>
                <c:pt idx="5">
                  <c:v>349.52533333333332</c:v>
                </c:pt>
                <c:pt idx="6">
                  <c:v>291.27111111111111</c:v>
                </c:pt>
                <c:pt idx="7">
                  <c:v>233.0168888888889</c:v>
                </c:pt>
                <c:pt idx="8">
                  <c:v>194.18074074074073</c:v>
                </c:pt>
                <c:pt idx="9">
                  <c:v>166.44063492063492</c:v>
                </c:pt>
              </c:numCache>
            </c:numRef>
          </c:xVal>
          <c:yVal>
            <c:numRef>
              <c:f>LED電流!$H$68:$H$77</c:f>
              <c:numCache>
                <c:formatCode>General</c:formatCode>
                <c:ptCount val="10"/>
                <c:pt idx="0">
                  <c:v>0.55720930232558141</c:v>
                </c:pt>
                <c:pt idx="1">
                  <c:v>0.85069767441860467</c:v>
                </c:pt>
                <c:pt idx="2">
                  <c:v>1.1734883720930234</c:v>
                </c:pt>
                <c:pt idx="3">
                  <c:v>1.8418604651162791</c:v>
                </c:pt>
                <c:pt idx="4">
                  <c:v>2.9581395348837209</c:v>
                </c:pt>
                <c:pt idx="5">
                  <c:v>4.8837209302325579</c:v>
                </c:pt>
                <c:pt idx="6">
                  <c:v>7.3069767441860467</c:v>
                </c:pt>
                <c:pt idx="7">
                  <c:v>11.018604651162791</c:v>
                </c:pt>
                <c:pt idx="8">
                  <c:v>14.744186046511627</c:v>
                </c:pt>
                <c:pt idx="9">
                  <c:v>18.511627906976745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6-457C-B95D-1EC58D9EA8F0}"/>
            </c:ext>
          </c:extLst>
        </c:ser>
        <c:ser>
          <c:idx val="2"/>
          <c:order val="2"/>
          <c:xVal>
            <c:numRef>
              <c:f>LED電流!$A$68:$A$77</c:f>
              <c:numCache>
                <c:formatCode>General</c:formatCode>
                <c:ptCount val="10"/>
                <c:pt idx="0">
                  <c:v>582.54222222222222</c:v>
                </c:pt>
                <c:pt idx="1">
                  <c:v>551.88210526315788</c:v>
                </c:pt>
                <c:pt idx="2">
                  <c:v>524.28800000000001</c:v>
                </c:pt>
                <c:pt idx="3">
                  <c:v>476.62545454545455</c:v>
                </c:pt>
                <c:pt idx="4">
                  <c:v>419.43040000000002</c:v>
                </c:pt>
                <c:pt idx="5">
                  <c:v>349.52533333333332</c:v>
                </c:pt>
                <c:pt idx="6">
                  <c:v>291.27111111111111</c:v>
                </c:pt>
                <c:pt idx="7">
                  <c:v>233.0168888888889</c:v>
                </c:pt>
                <c:pt idx="8">
                  <c:v>194.18074074074073</c:v>
                </c:pt>
                <c:pt idx="9">
                  <c:v>166.44063492063492</c:v>
                </c:pt>
              </c:numCache>
            </c:numRef>
          </c:xVal>
          <c:yVal>
            <c:numRef>
              <c:f>LED電流!$I$68:$I$77</c:f>
              <c:numCache>
                <c:formatCode>General</c:formatCode>
                <c:ptCount val="10"/>
                <c:pt idx="0">
                  <c:v>0.27069767441860465</c:v>
                </c:pt>
                <c:pt idx="1">
                  <c:v>0.52465116279069768</c:v>
                </c:pt>
                <c:pt idx="2">
                  <c:v>0.82093023255813957</c:v>
                </c:pt>
                <c:pt idx="3">
                  <c:v>1.4511627906976745</c:v>
                </c:pt>
                <c:pt idx="4">
                  <c:v>2.5348837209302326</c:v>
                </c:pt>
                <c:pt idx="5">
                  <c:v>4.4325581395348834</c:v>
                </c:pt>
                <c:pt idx="6">
                  <c:v>6.8604651162790695</c:v>
                </c:pt>
                <c:pt idx="7">
                  <c:v>10.618604651162791</c:v>
                </c:pt>
                <c:pt idx="8">
                  <c:v>14.418604651162791</c:v>
                </c:pt>
                <c:pt idx="9">
                  <c:v>18.279069767441861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06-457C-B95D-1EC58D9E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696952"/>
        <c:axId val="-2055048312"/>
      </c:scatterChart>
      <c:valAx>
        <c:axId val="-205469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5048312"/>
        <c:crosses val="autoZero"/>
        <c:crossBetween val="midCat"/>
      </c:valAx>
      <c:valAx>
        <c:axId val="-205504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696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LED電流!$A$68:$A$77</c:f>
              <c:numCache>
                <c:formatCode>General</c:formatCode>
                <c:ptCount val="10"/>
                <c:pt idx="0">
                  <c:v>582.54222222222222</c:v>
                </c:pt>
                <c:pt idx="1">
                  <c:v>551.88210526315788</c:v>
                </c:pt>
                <c:pt idx="2">
                  <c:v>524.28800000000001</c:v>
                </c:pt>
                <c:pt idx="3">
                  <c:v>476.62545454545455</c:v>
                </c:pt>
                <c:pt idx="4">
                  <c:v>419.43040000000002</c:v>
                </c:pt>
                <c:pt idx="5">
                  <c:v>349.52533333333332</c:v>
                </c:pt>
                <c:pt idx="6">
                  <c:v>291.27111111111111</c:v>
                </c:pt>
                <c:pt idx="7">
                  <c:v>233.0168888888889</c:v>
                </c:pt>
                <c:pt idx="8">
                  <c:v>194.18074074074073</c:v>
                </c:pt>
                <c:pt idx="9">
                  <c:v>166.44063492063492</c:v>
                </c:pt>
              </c:numCache>
            </c:numRef>
          </c:xVal>
          <c:yVal>
            <c:numRef>
              <c:f>LED電流!$K$68:$K$77</c:f>
              <c:numCache>
                <c:formatCode>General</c:formatCode>
                <c:ptCount val="10"/>
                <c:pt idx="0">
                  <c:v>1.5478761699064074</c:v>
                </c:pt>
                <c:pt idx="1">
                  <c:v>1.034151034151034</c:v>
                </c:pt>
                <c:pt idx="2">
                  <c:v>0.7607926397735314</c:v>
                </c:pt>
                <c:pt idx="3">
                  <c:v>0.49539170506912444</c:v>
                </c:pt>
                <c:pt idx="4">
                  <c:v>0.31341107871720114</c:v>
                </c:pt>
                <c:pt idx="5">
                  <c:v>0.19282511210762332</c:v>
                </c:pt>
                <c:pt idx="6">
                  <c:v>0.13022410660205935</c:v>
                </c:pt>
                <c:pt idx="7">
                  <c:v>8.7044534412955454E-2</c:v>
                </c:pt>
                <c:pt idx="8">
                  <c:v>6.5349544072948323E-2</c:v>
                </c:pt>
                <c:pt idx="9">
                  <c:v>5.218446601941748E-2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0-4042-AE4C-EC96E1FE4698}"/>
            </c:ext>
          </c:extLst>
        </c:ser>
        <c:ser>
          <c:idx val="1"/>
          <c:order val="1"/>
          <c:xVal>
            <c:numRef>
              <c:f>LED電流!$A$68:$A$77</c:f>
              <c:numCache>
                <c:formatCode>General</c:formatCode>
                <c:ptCount val="10"/>
                <c:pt idx="0">
                  <c:v>582.54222222222222</c:v>
                </c:pt>
                <c:pt idx="1">
                  <c:v>551.88210526315788</c:v>
                </c:pt>
                <c:pt idx="2">
                  <c:v>524.28800000000001</c:v>
                </c:pt>
                <c:pt idx="3">
                  <c:v>476.62545454545455</c:v>
                </c:pt>
                <c:pt idx="4">
                  <c:v>419.43040000000002</c:v>
                </c:pt>
                <c:pt idx="5">
                  <c:v>349.52533333333332</c:v>
                </c:pt>
                <c:pt idx="6">
                  <c:v>291.27111111111111</c:v>
                </c:pt>
                <c:pt idx="7">
                  <c:v>233.0168888888889</c:v>
                </c:pt>
                <c:pt idx="8">
                  <c:v>194.18074074074073</c:v>
                </c:pt>
                <c:pt idx="9">
                  <c:v>166.44063492063492</c:v>
                </c:pt>
              </c:numCache>
            </c:numRef>
          </c:xVal>
          <c:yVal>
            <c:numRef>
              <c:f>LED電流!$L$68:$L$77</c:f>
              <c:numCache>
                <c:formatCode>General</c:formatCode>
                <c:ptCount val="10"/>
                <c:pt idx="0">
                  <c:v>1.7946577629382303</c:v>
                </c:pt>
                <c:pt idx="1">
                  <c:v>1.1755057408419902</c:v>
                </c:pt>
                <c:pt idx="2">
                  <c:v>0.85216012683313502</c:v>
                </c:pt>
                <c:pt idx="3">
                  <c:v>0.54292929292929293</c:v>
                </c:pt>
                <c:pt idx="4">
                  <c:v>0.33805031446540879</c:v>
                </c:pt>
                <c:pt idx="5">
                  <c:v>0.20476190476190478</c:v>
                </c:pt>
                <c:pt idx="6">
                  <c:v>0.13685550604710375</c:v>
                </c:pt>
                <c:pt idx="7">
                  <c:v>9.0755593077247787E-2</c:v>
                </c:pt>
                <c:pt idx="8">
                  <c:v>6.782334384858045E-2</c:v>
                </c:pt>
                <c:pt idx="9">
                  <c:v>5.4020100502512561E-2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0-4042-AE4C-EC96E1FE4698}"/>
            </c:ext>
          </c:extLst>
        </c:ser>
        <c:ser>
          <c:idx val="2"/>
          <c:order val="2"/>
          <c:xVal>
            <c:numRef>
              <c:f>LED電流!$A$68:$A$77</c:f>
              <c:numCache>
                <c:formatCode>General</c:formatCode>
                <c:ptCount val="10"/>
                <c:pt idx="0">
                  <c:v>582.54222222222222</c:v>
                </c:pt>
                <c:pt idx="1">
                  <c:v>551.88210526315788</c:v>
                </c:pt>
                <c:pt idx="2">
                  <c:v>524.28800000000001</c:v>
                </c:pt>
                <c:pt idx="3">
                  <c:v>476.62545454545455</c:v>
                </c:pt>
                <c:pt idx="4">
                  <c:v>419.43040000000002</c:v>
                </c:pt>
                <c:pt idx="5">
                  <c:v>349.52533333333332</c:v>
                </c:pt>
                <c:pt idx="6">
                  <c:v>291.27111111111111</c:v>
                </c:pt>
                <c:pt idx="7">
                  <c:v>233.0168888888889</c:v>
                </c:pt>
                <c:pt idx="8">
                  <c:v>194.18074074074073</c:v>
                </c:pt>
                <c:pt idx="9">
                  <c:v>166.44063492063492</c:v>
                </c:pt>
              </c:numCache>
            </c:numRef>
          </c:xVal>
          <c:yVal>
            <c:numRef>
              <c:f>LED電流!$M$68:$M$77</c:f>
              <c:numCache>
                <c:formatCode>General</c:formatCode>
                <c:ptCount val="10"/>
                <c:pt idx="0">
                  <c:v>1.1082474226804124</c:v>
                </c:pt>
                <c:pt idx="1">
                  <c:v>0.57180851063829785</c:v>
                </c:pt>
                <c:pt idx="2">
                  <c:v>0.36543909348441922</c:v>
                </c:pt>
                <c:pt idx="3">
                  <c:v>0.20673076923076922</c:v>
                </c:pt>
                <c:pt idx="4">
                  <c:v>0.118348623853211</c:v>
                </c:pt>
                <c:pt idx="5">
                  <c:v>6.7681007345225599E-2</c:v>
                </c:pt>
                <c:pt idx="6">
                  <c:v>4.3728813559322031E-2</c:v>
                </c:pt>
                <c:pt idx="7">
                  <c:v>2.8252299605781864E-2</c:v>
                </c:pt>
                <c:pt idx="8">
                  <c:v>2.0806451612903225E-2</c:v>
                </c:pt>
                <c:pt idx="9">
                  <c:v>1.6412213740458013E-2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0-4042-AE4C-EC96E1FE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89416"/>
        <c:axId val="-2055034840"/>
      </c:scatterChart>
      <c:valAx>
        <c:axId val="-20550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5034840"/>
        <c:crosses val="autoZero"/>
        <c:crossBetween val="midCat"/>
      </c:valAx>
      <c:valAx>
        <c:axId val="-205503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089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8</xdr:col>
      <xdr:colOff>0</xdr:colOff>
      <xdr:row>74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444501</xdr:colOff>
      <xdr:row>159</xdr:row>
      <xdr:rowOff>46566</xdr:rowOff>
    </xdr:from>
    <xdr:ext cx="4903394" cy="3466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14801" y="26911299"/>
              <a:ext cx="4903394" cy="346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𝑅𝑒𝑓𝐼𝑛𝑐𝑟𝑒𝑚𝑒𝑛𝑡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𝐹𝑆𝑂𝑆𝐶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×2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20</m:t>
                            </m:r>
                          </m:sup>
                        </m:sSup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𝐻𝐹𝐼𝑁𝑇𝑂𝑆𝐶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𝑁𝐶𝑂𝐼𝑛𝑐𝑟𝑒𝑚𝑒𝑛𝑡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35</m:t>
                            </m:r>
                          </m:sup>
                        </m:sSup>
                      </m:num>
                      <m:den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𝐻𝐹𝐼𝑁𝑇𝑂𝑆𝐶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𝑁𝐶𝑂𝐼𝑛𝑐𝑟𝑒𝑚𝑒𝑛𝑡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F7D21CCB-74A1-4898-8B90-D2B59BF53A5A}"/>
                </a:ext>
              </a:extLst>
            </xdr:cNvPr>
            <xdr:cNvSpPr txBox="1"/>
          </xdr:nvSpPr>
          <xdr:spPr>
            <a:xfrm>
              <a:off x="4114801" y="26911299"/>
              <a:ext cx="4903394" cy="346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𝑅𝑒𝑓𝐼𝑛𝑐𝑟𝑒𝑚𝑒𝑛𝑡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=〖𝐹𝑆𝑂𝑆𝐶×2〗^20/(𝐻𝐹𝐼𝑁𝑇𝑂𝑆𝐶×𝑁𝐶𝑂𝐼𝑛𝑐𝑟𝑒𝑚𝑒𝑛𝑡)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=2^35/(𝐻𝐹𝐼𝑁𝑇𝑂𝑆𝐶×𝑁𝐶𝑂𝐼𝑛𝑐𝑟𝑒𝑚𝑒𝑛𝑡)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289560</xdr:colOff>
          <xdr:row>54</xdr:row>
          <xdr:rowOff>60960</xdr:rowOff>
        </xdr:from>
        <xdr:to>
          <xdr:col>20</xdr:col>
          <xdr:colOff>403860</xdr:colOff>
          <xdr:row>61</xdr:row>
          <xdr:rowOff>190500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</xdr:colOff>
          <xdr:row>2</xdr:row>
          <xdr:rowOff>38100</xdr:rowOff>
        </xdr:from>
        <xdr:to>
          <xdr:col>22</xdr:col>
          <xdr:colOff>586740</xdr:colOff>
          <xdr:row>18</xdr:row>
          <xdr:rowOff>137160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42</xdr:row>
          <xdr:rowOff>15240</xdr:rowOff>
        </xdr:from>
        <xdr:to>
          <xdr:col>24</xdr:col>
          <xdr:colOff>15240</xdr:colOff>
          <xdr:row>61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73</xdr:row>
          <xdr:rowOff>15240</xdr:rowOff>
        </xdr:from>
        <xdr:to>
          <xdr:col>24</xdr:col>
          <xdr:colOff>15240</xdr:colOff>
          <xdr:row>102</xdr:row>
          <xdr:rowOff>190500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81280</xdr:colOff>
      <xdr:row>73</xdr:row>
      <xdr:rowOff>30480</xdr:rowOff>
    </xdr:from>
    <xdr:to>
      <xdr:col>27</xdr:col>
      <xdr:colOff>426720</xdr:colOff>
      <xdr:row>88</xdr:row>
      <xdr:rowOff>132080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7871440" y="10312400"/>
          <a:ext cx="3271520" cy="2438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Vref</a:t>
          </a:r>
          <a:r>
            <a:rPr kumimoji="1" lang="ja-JP" altLang="en-US" sz="1100"/>
            <a:t>を電源電圧とするばあいの数式。</a:t>
          </a:r>
          <a:endParaRPr kumimoji="1" lang="en-US" altLang="ja-JP" sz="1100"/>
        </a:p>
        <a:p>
          <a:pPr algn="l"/>
          <a:r>
            <a:rPr kumimoji="1" lang="ja-JP" altLang="en-US" sz="1100"/>
            <a:t>積分値のリミットと目標値の計算がめんどくさいかも。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91</xdr:row>
          <xdr:rowOff>0</xdr:rowOff>
        </xdr:from>
        <xdr:to>
          <xdr:col>26</xdr:col>
          <xdr:colOff>685800</xdr:colOff>
          <xdr:row>102</xdr:row>
          <xdr:rowOff>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110</xdr:row>
          <xdr:rowOff>228600</xdr:rowOff>
        </xdr:from>
        <xdr:to>
          <xdr:col>25</xdr:col>
          <xdr:colOff>1082040</xdr:colOff>
          <xdr:row>142</xdr:row>
          <xdr:rowOff>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87</xdr:row>
      <xdr:rowOff>0</xdr:rowOff>
    </xdr:from>
    <xdr:to>
      <xdr:col>48</xdr:col>
      <xdr:colOff>0</xdr:colOff>
      <xdr:row>91</xdr:row>
      <xdr:rowOff>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6477000" y="12954000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FVR</a:t>
          </a:r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電圧変換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FVR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電圧変換</a:t>
          </a:r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, count--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72</xdr:col>
      <xdr:colOff>0</xdr:colOff>
      <xdr:row>87</xdr:row>
      <xdr:rowOff>0</xdr:rowOff>
    </xdr:from>
    <xdr:to>
      <xdr:col>84</xdr:col>
      <xdr:colOff>0</xdr:colOff>
      <xdr:row>91</xdr:row>
      <xdr:rowOff>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2954000" y="12954000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LED</a:t>
          </a:r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電流変換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LED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電流変換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19</xdr:col>
      <xdr:colOff>143274</xdr:colOff>
      <xdr:row>98</xdr:row>
      <xdr:rowOff>179916</xdr:rowOff>
    </xdr:from>
    <xdr:to>
      <xdr:col>24</xdr:col>
      <xdr:colOff>1</xdr:colOff>
      <xdr:row>102</xdr:row>
      <xdr:rowOff>179916</xdr:rowOff>
    </xdr:to>
    <xdr:cxnSp macro="">
      <xdr:nvCxnSpPr>
        <xdr:cNvPr id="14" name="コネクタ: 曲線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>
          <a:stCxn id="188" idx="2"/>
          <a:endCxn id="170" idx="1"/>
        </xdr:cNvCxnSpPr>
      </xdr:nvCxnSpPr>
      <xdr:spPr>
        <a:xfrm rot="16200000" flipH="1">
          <a:off x="3580012" y="15094678"/>
          <a:ext cx="719667" cy="756310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15</xdr:row>
      <xdr:rowOff>129523</xdr:rowOff>
    </xdr:from>
    <xdr:to>
      <xdr:col>54</xdr:col>
      <xdr:colOff>0</xdr:colOff>
      <xdr:row>19</xdr:row>
      <xdr:rowOff>0</xdr:rowOff>
    </xdr:to>
    <xdr:cxnSp macro="">
      <xdr:nvCxnSpPr>
        <xdr:cNvPr id="15" name="コネクタ: 曲線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>
          <a:stCxn id="161" idx="3"/>
          <a:endCxn id="20" idx="1"/>
        </xdr:cNvCxnSpPr>
      </xdr:nvCxnSpPr>
      <xdr:spPr>
        <a:xfrm>
          <a:off x="8636000" y="2828273"/>
          <a:ext cx="1079500" cy="590144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</xdr:colOff>
      <xdr:row>88</xdr:row>
      <xdr:rowOff>50393</xdr:rowOff>
    </xdr:from>
    <xdr:to>
      <xdr:col>56</xdr:col>
      <xdr:colOff>1</xdr:colOff>
      <xdr:row>89</xdr:row>
      <xdr:rowOff>0</xdr:rowOff>
    </xdr:to>
    <xdr:cxnSp macro="">
      <xdr:nvCxnSpPr>
        <xdr:cNvPr id="16" name="コネクタ: 曲線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>
          <a:stCxn id="178" idx="1"/>
          <a:endCxn id="11" idx="3"/>
        </xdr:cNvCxnSpPr>
      </xdr:nvCxnSpPr>
      <xdr:spPr>
        <a:xfrm rot="10800000" flipV="1">
          <a:off x="8636001" y="13184310"/>
          <a:ext cx="1439333" cy="129523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7</xdr:row>
      <xdr:rowOff>179916</xdr:rowOff>
    </xdr:from>
    <xdr:to>
      <xdr:col>80</xdr:col>
      <xdr:colOff>0</xdr:colOff>
      <xdr:row>12</xdr:row>
      <xdr:rowOff>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12234333" y="2878666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静止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静止準備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復帰</a:t>
          </a:r>
        </a:p>
      </xdr:txBody>
    </xdr:sp>
    <xdr:clientData/>
  </xdr:twoCellAnchor>
  <xdr:twoCellAnchor>
    <xdr:from>
      <xdr:col>40</xdr:col>
      <xdr:colOff>0</xdr:colOff>
      <xdr:row>7</xdr:row>
      <xdr:rowOff>0</xdr:rowOff>
    </xdr:from>
    <xdr:to>
      <xdr:col>52</xdr:col>
      <xdr:colOff>0</xdr:colOff>
      <xdr:row>11</xdr:row>
      <xdr:rowOff>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7196667" y="2698750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定電圧制御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timer=10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秒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timer--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54</xdr:col>
      <xdr:colOff>0</xdr:colOff>
      <xdr:row>17</xdr:row>
      <xdr:rowOff>0</xdr:rowOff>
    </xdr:from>
    <xdr:to>
      <xdr:col>66</xdr:col>
      <xdr:colOff>0</xdr:colOff>
      <xdr:row>21</xdr:row>
      <xdr:rowOff>1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9715500" y="3058583"/>
          <a:ext cx="2159000" cy="719668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CEMF</a:t>
          </a:r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測定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20</xdr:col>
      <xdr:colOff>0</xdr:colOff>
      <xdr:row>39</xdr:row>
      <xdr:rowOff>179916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1439333" y="6477000"/>
          <a:ext cx="2159000" cy="719666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定速制御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33</xdr:col>
      <xdr:colOff>0</xdr:colOff>
      <xdr:row>32</xdr:row>
      <xdr:rowOff>0</xdr:rowOff>
    </xdr:from>
    <xdr:to>
      <xdr:col>45</xdr:col>
      <xdr:colOff>0</xdr:colOff>
      <xdr:row>35</xdr:row>
      <xdr:rowOff>179916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5937250" y="5757333"/>
          <a:ext cx="2159000" cy="719666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倍速制御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20</xdr:col>
      <xdr:colOff>0</xdr:colOff>
      <xdr:row>28</xdr:row>
      <xdr:rowOff>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1439333" y="4318000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一時停止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61</xdr:col>
      <xdr:colOff>0</xdr:colOff>
      <xdr:row>36</xdr:row>
      <xdr:rowOff>0</xdr:rowOff>
    </xdr:from>
    <xdr:to>
      <xdr:col>73</xdr:col>
      <xdr:colOff>0</xdr:colOff>
      <xdr:row>40</xdr:row>
      <xdr:rowOff>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10974917" y="6477000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t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動作限界到達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timer=60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秒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timer--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73</xdr:col>
      <xdr:colOff>97255</xdr:colOff>
      <xdr:row>23</xdr:row>
      <xdr:rowOff>0</xdr:rowOff>
    </xdr:from>
    <xdr:to>
      <xdr:col>77</xdr:col>
      <xdr:colOff>179916</xdr:colOff>
      <xdr:row>25</xdr:row>
      <xdr:rowOff>0</xdr:rowOff>
    </xdr:to>
    <xdr:cxnSp macro="">
      <xdr:nvCxnSpPr>
        <xdr:cNvPr id="26" name="コネクタ: 曲線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CxnSpPr>
          <a:cxnSpLocks/>
          <a:stCxn id="192" idx="2"/>
          <a:endCxn id="164" idx="0"/>
        </xdr:cNvCxnSpPr>
      </xdr:nvCxnSpPr>
      <xdr:spPr>
        <a:xfrm rot="16200000" flipH="1">
          <a:off x="13452419" y="3916836"/>
          <a:ext cx="359834" cy="802327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35</xdr:row>
      <xdr:rowOff>179916</xdr:rowOff>
    </xdr:from>
    <xdr:to>
      <xdr:col>39</xdr:col>
      <xdr:colOff>0</xdr:colOff>
      <xdr:row>38</xdr:row>
      <xdr:rowOff>129523</xdr:rowOff>
    </xdr:to>
    <xdr:cxnSp macro="">
      <xdr:nvCxnSpPr>
        <xdr:cNvPr id="27" name="コネクタ: 曲線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CxnSpPr>
          <a:stCxn id="174" idx="3"/>
          <a:endCxn id="22" idx="2"/>
        </xdr:cNvCxnSpPr>
      </xdr:nvCxnSpPr>
      <xdr:spPr>
        <a:xfrm flipV="1">
          <a:off x="6656917" y="6476999"/>
          <a:ext cx="359833" cy="489357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89958</xdr:colOff>
      <xdr:row>14</xdr:row>
      <xdr:rowOff>79129</xdr:rowOff>
    </xdr:from>
    <xdr:to>
      <xdr:col>28</xdr:col>
      <xdr:colOff>39980</xdr:colOff>
      <xdr:row>18</xdr:row>
      <xdr:rowOff>0</xdr:rowOff>
    </xdr:to>
    <xdr:cxnSp macro="">
      <xdr:nvCxnSpPr>
        <xdr:cNvPr id="28" name="コネクタ: 曲線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CxnSpPr>
          <a:stCxn id="182" idx="2"/>
          <a:endCxn id="101" idx="0"/>
        </xdr:cNvCxnSpPr>
      </xdr:nvCxnSpPr>
      <xdr:spPr>
        <a:xfrm rot="5400000">
          <a:off x="4512492" y="2673345"/>
          <a:ext cx="640538" cy="489772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26</xdr:row>
      <xdr:rowOff>1</xdr:rowOff>
    </xdr:from>
    <xdr:to>
      <xdr:col>32</xdr:col>
      <xdr:colOff>0</xdr:colOff>
      <xdr:row>26</xdr:row>
      <xdr:rowOff>50395</xdr:rowOff>
    </xdr:to>
    <xdr:cxnSp macro="">
      <xdr:nvCxnSpPr>
        <xdr:cNvPr id="29" name="コネクタ: 曲線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>
          <a:stCxn id="148" idx="1"/>
          <a:endCxn id="23" idx="3"/>
        </xdr:cNvCxnSpPr>
      </xdr:nvCxnSpPr>
      <xdr:spPr>
        <a:xfrm rot="10800000">
          <a:off x="3598333" y="4677834"/>
          <a:ext cx="2159000" cy="50394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33</xdr:row>
      <xdr:rowOff>79129</xdr:rowOff>
    </xdr:from>
    <xdr:to>
      <xdr:col>18</xdr:col>
      <xdr:colOff>87558</xdr:colOff>
      <xdr:row>36</xdr:row>
      <xdr:rowOff>1</xdr:rowOff>
    </xdr:to>
    <xdr:cxnSp macro="">
      <xdr:nvCxnSpPr>
        <xdr:cNvPr id="30" name="コネクタ: 曲線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>
          <a:stCxn id="150" idx="2"/>
          <a:endCxn id="21" idx="0"/>
        </xdr:cNvCxnSpPr>
      </xdr:nvCxnSpPr>
      <xdr:spPr>
        <a:xfrm rot="5400000">
          <a:off x="2692135" y="5843077"/>
          <a:ext cx="460622" cy="807225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87121</xdr:colOff>
      <xdr:row>26</xdr:row>
      <xdr:rowOff>2</xdr:rowOff>
    </xdr:from>
    <xdr:to>
      <xdr:col>7</xdr:col>
      <xdr:colOff>179915</xdr:colOff>
      <xdr:row>30</xdr:row>
      <xdr:rowOff>1</xdr:rowOff>
    </xdr:to>
    <xdr:cxnSp macro="">
      <xdr:nvCxnSpPr>
        <xdr:cNvPr id="31" name="コネクタ: 曲線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CxnSpPr>
          <a:stCxn id="172" idx="0"/>
          <a:endCxn id="23" idx="1"/>
        </xdr:cNvCxnSpPr>
      </xdr:nvCxnSpPr>
      <xdr:spPr>
        <a:xfrm rot="5400000" flipH="1" flipV="1">
          <a:off x="943144" y="4901312"/>
          <a:ext cx="719666" cy="272711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39</xdr:row>
      <xdr:rowOff>179916</xdr:rowOff>
    </xdr:from>
    <xdr:to>
      <xdr:col>21</xdr:col>
      <xdr:colOff>1</xdr:colOff>
      <xdr:row>41</xdr:row>
      <xdr:rowOff>129523</xdr:rowOff>
    </xdr:to>
    <xdr:cxnSp macro="">
      <xdr:nvCxnSpPr>
        <xdr:cNvPr id="32" name="コネクタ: 曲線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CxnSpPr>
          <a:stCxn id="156" idx="1"/>
          <a:endCxn id="21" idx="2"/>
        </xdr:cNvCxnSpPr>
      </xdr:nvCxnSpPr>
      <xdr:spPr>
        <a:xfrm rot="10800000">
          <a:off x="2518834" y="7196666"/>
          <a:ext cx="1259417" cy="309440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125536</xdr:colOff>
      <xdr:row>29</xdr:row>
      <xdr:rowOff>129523</xdr:rowOff>
    </xdr:from>
    <xdr:to>
      <xdr:col>39</xdr:col>
      <xdr:colOff>0</xdr:colOff>
      <xdr:row>32</xdr:row>
      <xdr:rowOff>0</xdr:rowOff>
    </xdr:to>
    <xdr:cxnSp macro="">
      <xdr:nvCxnSpPr>
        <xdr:cNvPr id="33" name="コネクタ: 曲線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CxnSpPr>
          <a:stCxn id="167" idx="3"/>
          <a:endCxn id="22" idx="0"/>
        </xdr:cNvCxnSpPr>
      </xdr:nvCxnSpPr>
      <xdr:spPr>
        <a:xfrm>
          <a:off x="6242703" y="5347106"/>
          <a:ext cx="774047" cy="410227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</xdr:colOff>
      <xdr:row>9</xdr:row>
      <xdr:rowOff>1</xdr:rowOff>
    </xdr:from>
    <xdr:to>
      <xdr:col>55</xdr:col>
      <xdr:colOff>67218</xdr:colOff>
      <xdr:row>9</xdr:row>
      <xdr:rowOff>129524</xdr:rowOff>
    </xdr:to>
    <xdr:cxnSp macro="">
      <xdr:nvCxnSpPr>
        <xdr:cNvPr id="34" name="コネクタ: 曲線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CxnSpPr>
          <a:stCxn id="144" idx="1"/>
          <a:endCxn id="19" idx="3"/>
        </xdr:cNvCxnSpPr>
      </xdr:nvCxnSpPr>
      <xdr:spPr>
        <a:xfrm rot="10800000">
          <a:off x="9355668" y="1619251"/>
          <a:ext cx="606967" cy="129523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17215</xdr:colOff>
      <xdr:row>32</xdr:row>
      <xdr:rowOff>129523</xdr:rowOff>
    </xdr:from>
    <xdr:to>
      <xdr:col>67</xdr:col>
      <xdr:colOff>0</xdr:colOff>
      <xdr:row>36</xdr:row>
      <xdr:rowOff>0</xdr:rowOff>
    </xdr:to>
    <xdr:cxnSp macro="">
      <xdr:nvCxnSpPr>
        <xdr:cNvPr id="56" name="コネクタ: 曲線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CxnSpPr>
          <a:stCxn id="163" idx="3"/>
          <a:endCxn id="24" idx="0"/>
        </xdr:cNvCxnSpPr>
      </xdr:nvCxnSpPr>
      <xdr:spPr>
        <a:xfrm>
          <a:off x="11531882" y="5886856"/>
          <a:ext cx="522535" cy="590144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89959</xdr:colOff>
      <xdr:row>43</xdr:row>
      <xdr:rowOff>1</xdr:rowOff>
    </xdr:from>
    <xdr:to>
      <xdr:col>42</xdr:col>
      <xdr:colOff>1</xdr:colOff>
      <xdr:row>44</xdr:row>
      <xdr:rowOff>129524</xdr:rowOff>
    </xdr:to>
    <xdr:cxnSp macro="">
      <xdr:nvCxnSpPr>
        <xdr:cNvPr id="60" name="コネクタ: 曲線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CxnSpPr>
          <a:stCxn id="146" idx="1"/>
          <a:endCxn id="101" idx="2"/>
        </xdr:cNvCxnSpPr>
      </xdr:nvCxnSpPr>
      <xdr:spPr>
        <a:xfrm rot="10800000">
          <a:off x="4587876" y="7736418"/>
          <a:ext cx="2968625" cy="309439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0</xdr:rowOff>
    </xdr:from>
    <xdr:to>
      <xdr:col>49</xdr:col>
      <xdr:colOff>0</xdr:colOff>
      <xdr:row>43</xdr:row>
      <xdr:rowOff>0</xdr:rowOff>
    </xdr:to>
    <xdr:sp macro="" textlink="">
      <xdr:nvSpPr>
        <xdr:cNvPr id="101" name="四角形: 角を丸くする 100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/>
      </xdr:nvSpPr>
      <xdr:spPr>
        <a:xfrm>
          <a:off x="359833" y="3238500"/>
          <a:ext cx="8456084" cy="4497917"/>
        </a:xfrm>
        <a:prstGeom prst="roundRect">
          <a:avLst>
            <a:gd name="adj" fmla="val 25893"/>
          </a:avLst>
        </a:prstGeom>
        <a:noFill/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t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追尾中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OriginSW==ON / LUT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インデックス初期位置</a:t>
          </a:r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14</xdr:col>
      <xdr:colOff>0</xdr:colOff>
      <xdr:row>11</xdr:row>
      <xdr:rowOff>0</xdr:rowOff>
    </xdr:to>
    <xdr:sp macro="" textlink="">
      <xdr:nvSpPr>
        <xdr:cNvPr id="153" name="四角形: 角を丸くする 152">
          <a:extLst>
            <a:ext uri="{FF2B5EF4-FFF2-40B4-BE49-F238E27FC236}">
              <a16:creationId xmlns:a16="http://schemas.microsoft.com/office/drawing/2014/main" id="{00000000-0008-0000-0700-000099000000}"/>
            </a:ext>
          </a:extLst>
        </xdr:cNvPr>
        <xdr:cNvSpPr/>
      </xdr:nvSpPr>
      <xdr:spPr>
        <a:xfrm>
          <a:off x="359833" y="2698750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一時停止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14</xdr:col>
      <xdr:colOff>1</xdr:colOff>
      <xdr:row>7</xdr:row>
      <xdr:rowOff>129522</xdr:rowOff>
    </xdr:from>
    <xdr:to>
      <xdr:col>20</xdr:col>
      <xdr:colOff>19244</xdr:colOff>
      <xdr:row>9</xdr:row>
      <xdr:rowOff>0</xdr:rowOff>
    </xdr:to>
    <xdr:cxnSp macro="">
      <xdr:nvCxnSpPr>
        <xdr:cNvPr id="154" name="コネクタ: 曲線 153">
          <a:extLst>
            <a:ext uri="{FF2B5EF4-FFF2-40B4-BE49-F238E27FC236}">
              <a16:creationId xmlns:a16="http://schemas.microsoft.com/office/drawing/2014/main" id="{00000000-0008-0000-0700-00009A000000}"/>
            </a:ext>
          </a:extLst>
        </xdr:cNvPr>
        <xdr:cNvCxnSpPr>
          <a:stCxn id="152" idx="1"/>
          <a:endCxn id="153" idx="3"/>
        </xdr:cNvCxnSpPr>
      </xdr:nvCxnSpPr>
      <xdr:spPr>
        <a:xfrm rot="10800000" flipV="1">
          <a:off x="2518834" y="2828272"/>
          <a:ext cx="1098743" cy="230311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121043</xdr:colOff>
      <xdr:row>4</xdr:row>
      <xdr:rowOff>50395</xdr:rowOff>
    </xdr:from>
    <xdr:to>
      <xdr:col>46</xdr:col>
      <xdr:colOff>0</xdr:colOff>
      <xdr:row>7</xdr:row>
      <xdr:rowOff>0</xdr:rowOff>
    </xdr:to>
    <xdr:cxnSp macro="">
      <xdr:nvCxnSpPr>
        <xdr:cNvPr id="158" name="コネクタ: 曲線 157">
          <a:extLst>
            <a:ext uri="{FF2B5EF4-FFF2-40B4-BE49-F238E27FC236}">
              <a16:creationId xmlns:a16="http://schemas.microsoft.com/office/drawing/2014/main" id="{00000000-0008-0000-0700-00009E000000}"/>
            </a:ext>
          </a:extLst>
        </xdr:cNvPr>
        <xdr:cNvCxnSpPr>
          <a:stCxn id="159" idx="3"/>
          <a:endCxn id="19" idx="0"/>
        </xdr:cNvCxnSpPr>
      </xdr:nvCxnSpPr>
      <xdr:spPr>
        <a:xfrm>
          <a:off x="5698460" y="2209395"/>
          <a:ext cx="2577707" cy="489355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25</xdr:row>
      <xdr:rowOff>0</xdr:rowOff>
    </xdr:from>
    <xdr:to>
      <xdr:col>84</xdr:col>
      <xdr:colOff>0</xdr:colOff>
      <xdr:row>29</xdr:row>
      <xdr:rowOff>1</xdr:rowOff>
    </xdr:to>
    <xdr:sp macro="" textlink="">
      <xdr:nvSpPr>
        <xdr:cNvPr id="164" name="四角形: 角を丸くする 163">
          <a:extLst>
            <a:ext uri="{FF2B5EF4-FFF2-40B4-BE49-F238E27FC236}">
              <a16:creationId xmlns:a16="http://schemas.microsoft.com/office/drawing/2014/main" id="{00000000-0008-0000-0700-0000A4000000}"/>
            </a:ext>
          </a:extLst>
        </xdr:cNvPr>
        <xdr:cNvSpPr/>
      </xdr:nvSpPr>
      <xdr:spPr>
        <a:xfrm>
          <a:off x="12954000" y="4497917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原点復帰待ち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静止準備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復帰</a:t>
          </a:r>
        </a:p>
      </xdr:txBody>
    </xdr:sp>
    <xdr:clientData/>
  </xdr:twoCellAnchor>
  <xdr:twoCellAnchor>
    <xdr:from>
      <xdr:col>80</xdr:col>
      <xdr:colOff>1</xdr:colOff>
      <xdr:row>10</xdr:row>
      <xdr:rowOff>0</xdr:rowOff>
    </xdr:from>
    <xdr:to>
      <xdr:col>86</xdr:col>
      <xdr:colOff>123606</xdr:colOff>
      <xdr:row>14</xdr:row>
      <xdr:rowOff>0</xdr:rowOff>
    </xdr:to>
    <xdr:cxnSp macro="">
      <xdr:nvCxnSpPr>
        <xdr:cNvPr id="165" name="コネクタ: 曲線 164">
          <a:extLst>
            <a:ext uri="{FF2B5EF4-FFF2-40B4-BE49-F238E27FC236}">
              <a16:creationId xmlns:a16="http://schemas.microsoft.com/office/drawing/2014/main" id="{00000000-0008-0000-0700-0000A5000000}"/>
            </a:ext>
          </a:extLst>
        </xdr:cNvPr>
        <xdr:cNvCxnSpPr>
          <a:cxnSpLocks/>
          <a:stCxn id="180" idx="0"/>
          <a:endCxn id="18" idx="3"/>
        </xdr:cNvCxnSpPr>
      </xdr:nvCxnSpPr>
      <xdr:spPr>
        <a:xfrm rot="16200000" flipV="1">
          <a:off x="14635053" y="2996781"/>
          <a:ext cx="719667" cy="1203105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3379</xdr:colOff>
      <xdr:row>29</xdr:row>
      <xdr:rowOff>2</xdr:rowOff>
    </xdr:from>
    <xdr:to>
      <xdr:col>77</xdr:col>
      <xdr:colOff>179916</xdr:colOff>
      <xdr:row>33</xdr:row>
      <xdr:rowOff>1</xdr:rowOff>
    </xdr:to>
    <xdr:cxnSp macro="">
      <xdr:nvCxnSpPr>
        <xdr:cNvPr id="168" name="コネクタ: 曲線 167">
          <a:extLst>
            <a:ext uri="{FF2B5EF4-FFF2-40B4-BE49-F238E27FC236}">
              <a16:creationId xmlns:a16="http://schemas.microsoft.com/office/drawing/2014/main" id="{00000000-0008-0000-0700-0000A8000000}"/>
            </a:ext>
          </a:extLst>
        </xdr:cNvPr>
        <xdr:cNvCxnSpPr>
          <a:stCxn id="176" idx="0"/>
          <a:endCxn id="164" idx="2"/>
        </xdr:cNvCxnSpPr>
      </xdr:nvCxnSpPr>
      <xdr:spPr>
        <a:xfrm rot="5400000" flipH="1" flipV="1">
          <a:off x="13585398" y="5489149"/>
          <a:ext cx="719666" cy="176537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2</xdr:row>
      <xdr:rowOff>0</xdr:rowOff>
    </xdr:from>
    <xdr:to>
      <xdr:col>75</xdr:col>
      <xdr:colOff>0</xdr:colOff>
      <xdr:row>4</xdr:row>
      <xdr:rowOff>0</xdr:rowOff>
    </xdr:to>
    <xdr:sp macro="" textlink="">
      <xdr:nvSpPr>
        <xdr:cNvPr id="184" name="楕円 183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SpPr/>
      </xdr:nvSpPr>
      <xdr:spPr>
        <a:xfrm>
          <a:off x="13133917" y="1799167"/>
          <a:ext cx="359833" cy="359833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173567</xdr:colOff>
      <xdr:row>84</xdr:row>
      <xdr:rowOff>6350</xdr:rowOff>
    </xdr:from>
    <xdr:to>
      <xdr:col>42</xdr:col>
      <xdr:colOff>6350</xdr:colOff>
      <xdr:row>87</xdr:row>
      <xdr:rowOff>6350</xdr:rowOff>
    </xdr:to>
    <xdr:cxnSp macro="">
      <xdr:nvCxnSpPr>
        <xdr:cNvPr id="185" name="コネクタ: 曲線 184">
          <a:extLst>
            <a:ext uri="{FF2B5EF4-FFF2-40B4-BE49-F238E27FC236}">
              <a16:creationId xmlns:a16="http://schemas.microsoft.com/office/drawing/2014/main" id="{00000000-0008-0000-0700-0000B9000000}"/>
            </a:ext>
          </a:extLst>
        </xdr:cNvPr>
        <xdr:cNvCxnSpPr>
          <a:stCxn id="187" idx="4"/>
          <a:endCxn id="11" idx="0"/>
        </xdr:cNvCxnSpPr>
      </xdr:nvCxnSpPr>
      <xdr:spPr>
        <a:xfrm rot="5400000">
          <a:off x="7286625" y="12684125"/>
          <a:ext cx="539750" cy="12700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4</xdr:row>
      <xdr:rowOff>1</xdr:rowOff>
    </xdr:from>
    <xdr:to>
      <xdr:col>74</xdr:col>
      <xdr:colOff>1</xdr:colOff>
      <xdr:row>8</xdr:row>
      <xdr:rowOff>0</xdr:rowOff>
    </xdr:to>
    <xdr:cxnSp macro="">
      <xdr:nvCxnSpPr>
        <xdr:cNvPr id="186" name="コネクタ: 曲線 185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CxnSpPr>
          <a:cxnSpLocks/>
          <a:stCxn id="184" idx="4"/>
          <a:endCxn id="18" idx="0"/>
        </xdr:cNvCxnSpPr>
      </xdr:nvCxnSpPr>
      <xdr:spPr>
        <a:xfrm rot="5400000">
          <a:off x="12954001" y="2518833"/>
          <a:ext cx="719666" cy="1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82</xdr:row>
      <xdr:rowOff>0</xdr:rowOff>
    </xdr:from>
    <xdr:to>
      <xdr:col>43</xdr:col>
      <xdr:colOff>0</xdr:colOff>
      <xdr:row>84</xdr:row>
      <xdr:rowOff>0</xdr:rowOff>
    </xdr:to>
    <xdr:sp macro="" textlink="">
      <xdr:nvSpPr>
        <xdr:cNvPr id="187" name="楕円 186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SpPr/>
      </xdr:nvSpPr>
      <xdr:spPr>
        <a:xfrm>
          <a:off x="7376583" y="12054417"/>
          <a:ext cx="359834" cy="359833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21</xdr:row>
      <xdr:rowOff>179916</xdr:rowOff>
    </xdr:to>
    <xdr:sp macro="" textlink="">
      <xdr:nvSpPr>
        <xdr:cNvPr id="193" name="楕円 192">
          <a:extLst>
            <a:ext uri="{FF2B5EF4-FFF2-40B4-BE49-F238E27FC236}">
              <a16:creationId xmlns:a16="http://schemas.microsoft.com/office/drawing/2014/main" id="{00000000-0008-0000-0700-0000C1000000}"/>
            </a:ext>
          </a:extLst>
        </xdr:cNvPr>
        <xdr:cNvSpPr/>
      </xdr:nvSpPr>
      <xdr:spPr>
        <a:xfrm>
          <a:off x="2338917" y="3598333"/>
          <a:ext cx="359833" cy="359833"/>
        </a:xfrm>
        <a:prstGeom prst="ellipse">
          <a:avLst/>
        </a:prstGeom>
        <a:noFill/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2000">
              <a:solidFill>
                <a:schemeClr val="tx1"/>
              </a:solidFill>
              <a:latin typeface="+mj-ea"/>
              <a:ea typeface="+mj-ea"/>
            </a:rPr>
            <a:t>H</a:t>
          </a:r>
          <a:endParaRPr kumimoji="1" lang="ja-JP" altLang="en-US" sz="2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14</xdr:col>
      <xdr:colOff>0</xdr:colOff>
      <xdr:row>22</xdr:row>
      <xdr:rowOff>0</xdr:rowOff>
    </xdr:from>
    <xdr:to>
      <xdr:col>14</xdr:col>
      <xdr:colOff>1</xdr:colOff>
      <xdr:row>24</xdr:row>
      <xdr:rowOff>1</xdr:rowOff>
    </xdr:to>
    <xdr:cxnSp macro="">
      <xdr:nvCxnSpPr>
        <xdr:cNvPr id="198" name="コネクタ: 曲線 197">
          <a:extLst>
            <a:ext uri="{FF2B5EF4-FFF2-40B4-BE49-F238E27FC236}">
              <a16:creationId xmlns:a16="http://schemas.microsoft.com/office/drawing/2014/main" id="{00000000-0008-0000-0700-0000C6000000}"/>
            </a:ext>
          </a:extLst>
        </xdr:cNvPr>
        <xdr:cNvCxnSpPr>
          <a:stCxn id="193" idx="4"/>
          <a:endCxn id="23" idx="0"/>
        </xdr:cNvCxnSpPr>
      </xdr:nvCxnSpPr>
      <xdr:spPr>
        <a:xfrm rot="5400000">
          <a:off x="2338917" y="4138083"/>
          <a:ext cx="359834" cy="1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63074</xdr:colOff>
      <xdr:row>113</xdr:row>
      <xdr:rowOff>179916</xdr:rowOff>
    </xdr:from>
    <xdr:to>
      <xdr:col>60</xdr:col>
      <xdr:colOff>63074</xdr:colOff>
      <xdr:row>117</xdr:row>
      <xdr:rowOff>179916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699074" y="11874499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電池電圧正常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電池電圧取得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67</xdr:col>
      <xdr:colOff>63074</xdr:colOff>
      <xdr:row>122</xdr:row>
      <xdr:rowOff>0</xdr:rowOff>
    </xdr:from>
    <xdr:to>
      <xdr:col>79</xdr:col>
      <xdr:colOff>63074</xdr:colOff>
      <xdr:row>126</xdr:row>
      <xdr:rowOff>0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12117491" y="13313833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電池電圧低下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電池電圧取得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50</xdr:col>
      <xdr:colOff>63075</xdr:colOff>
      <xdr:row>121</xdr:row>
      <xdr:rowOff>79127</xdr:rowOff>
    </xdr:from>
    <xdr:to>
      <xdr:col>52</xdr:col>
      <xdr:colOff>76667</xdr:colOff>
      <xdr:row>123</xdr:row>
      <xdr:rowOff>179915</xdr:rowOff>
    </xdr:to>
    <xdr:cxnSp macro="">
      <xdr:nvCxnSpPr>
        <xdr:cNvPr id="41" name="コネクタ: 曲線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CxnSpPr>
          <a:stCxn id="99" idx="2"/>
          <a:endCxn id="53" idx="0"/>
        </xdr:cNvCxnSpPr>
      </xdr:nvCxnSpPr>
      <xdr:spPr>
        <a:xfrm rot="5400000">
          <a:off x="9015310" y="13256642"/>
          <a:ext cx="460621" cy="373426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76665</xdr:colOff>
      <xdr:row>116</xdr:row>
      <xdr:rowOff>1</xdr:rowOff>
    </xdr:from>
    <xdr:to>
      <xdr:col>77</xdr:col>
      <xdr:colOff>63073</xdr:colOff>
      <xdr:row>118</xdr:row>
      <xdr:rowOff>100789</xdr:rowOff>
    </xdr:to>
    <xdr:cxnSp macro="">
      <xdr:nvCxnSpPr>
        <xdr:cNvPr id="42" name="コネクタ: 曲線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CxnSpPr>
          <a:stCxn id="100" idx="0"/>
          <a:endCxn id="54" idx="2"/>
        </xdr:cNvCxnSpPr>
      </xdr:nvCxnSpPr>
      <xdr:spPr>
        <a:xfrm rot="5400000" flipH="1" flipV="1">
          <a:off x="13513225" y="12291524"/>
          <a:ext cx="460622" cy="346241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56725</xdr:colOff>
      <xdr:row>110</xdr:row>
      <xdr:rowOff>6349</xdr:rowOff>
    </xdr:from>
    <xdr:to>
      <xdr:col>77</xdr:col>
      <xdr:colOff>69425</xdr:colOff>
      <xdr:row>112</xdr:row>
      <xdr:rowOff>6348</xdr:rowOff>
    </xdr:to>
    <xdr:cxnSp macro="">
      <xdr:nvCxnSpPr>
        <xdr:cNvPr id="43" name="コネクタ: 曲線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CxnSpPr>
          <a:stCxn id="44" idx="4"/>
          <a:endCxn id="54" idx="0"/>
        </xdr:cNvCxnSpPr>
      </xdr:nvCxnSpPr>
      <xdr:spPr>
        <a:xfrm rot="5400000">
          <a:off x="13736741" y="11334749"/>
          <a:ext cx="359833" cy="12700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63073</xdr:colOff>
      <xdr:row>108</xdr:row>
      <xdr:rowOff>0</xdr:rowOff>
    </xdr:from>
    <xdr:to>
      <xdr:col>78</xdr:col>
      <xdr:colOff>63074</xdr:colOff>
      <xdr:row>110</xdr:row>
      <xdr:rowOff>0</xdr:rowOff>
    </xdr:to>
    <xdr:sp macro="" textlink="">
      <xdr:nvSpPr>
        <xdr:cNvPr id="44" name="楕円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/>
      </xdr:nvSpPr>
      <xdr:spPr>
        <a:xfrm>
          <a:off x="13736740" y="10795000"/>
          <a:ext cx="359834" cy="359833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113</xdr:row>
      <xdr:rowOff>179916</xdr:rowOff>
    </xdr:from>
    <xdr:to>
      <xdr:col>28</xdr:col>
      <xdr:colOff>0</xdr:colOff>
      <xdr:row>117</xdr:row>
      <xdr:rowOff>179916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/>
      </xdr:nvSpPr>
      <xdr:spPr>
        <a:xfrm>
          <a:off x="2878667" y="11874499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水晶発振正常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水晶発振器監視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0</xdr:colOff>
      <xdr:row>123</xdr:row>
      <xdr:rowOff>179916</xdr:rowOff>
    </xdr:from>
    <xdr:to>
      <xdr:col>29</xdr:col>
      <xdr:colOff>0</xdr:colOff>
      <xdr:row>128</xdr:row>
      <xdr:rowOff>0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/>
      </xdr:nvSpPr>
      <xdr:spPr>
        <a:xfrm>
          <a:off x="3058583" y="13673666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水晶発振停止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timer = 1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秒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</a:t>
          </a:r>
          <a:r>
            <a:rPr kumimoji="1" lang="ja-JP" altLang="en-US" sz="1000" baseline="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kumimoji="1" lang="en-US" altLang="ja-JP" sz="1000" baseline="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timer--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161450</xdr:colOff>
      <xdr:row>121</xdr:row>
      <xdr:rowOff>179915</xdr:rowOff>
    </xdr:from>
    <xdr:to>
      <xdr:col>17</xdr:col>
      <xdr:colOff>1</xdr:colOff>
      <xdr:row>125</xdr:row>
      <xdr:rowOff>179916</xdr:rowOff>
    </xdr:to>
    <xdr:cxnSp macro="">
      <xdr:nvCxnSpPr>
        <xdr:cNvPr id="47" name="コネクタ: 曲線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CxnSpPr>
          <a:stCxn id="2" idx="2"/>
          <a:endCxn id="46" idx="1"/>
        </xdr:cNvCxnSpPr>
      </xdr:nvCxnSpPr>
      <xdr:spPr>
        <a:xfrm rot="16200000" flipH="1">
          <a:off x="2329683" y="13304599"/>
          <a:ext cx="719667" cy="738134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</xdr:colOff>
      <xdr:row>116</xdr:row>
      <xdr:rowOff>0</xdr:rowOff>
    </xdr:from>
    <xdr:to>
      <xdr:col>31</xdr:col>
      <xdr:colOff>49556</xdr:colOff>
      <xdr:row>120</xdr:row>
      <xdr:rowOff>100788</xdr:rowOff>
    </xdr:to>
    <xdr:cxnSp macro="">
      <xdr:nvCxnSpPr>
        <xdr:cNvPr id="48" name="コネクタ: 曲線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CxnSpPr>
          <a:stCxn id="52" idx="0"/>
          <a:endCxn id="45" idx="3"/>
        </xdr:cNvCxnSpPr>
      </xdr:nvCxnSpPr>
      <xdr:spPr>
        <a:xfrm rot="16200000" flipV="1">
          <a:off x="4922093" y="12349908"/>
          <a:ext cx="820455" cy="589305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173568</xdr:colOff>
      <xdr:row>112</xdr:row>
      <xdr:rowOff>6348</xdr:rowOff>
    </xdr:from>
    <xdr:to>
      <xdr:col>22</xdr:col>
      <xdr:colOff>6351</xdr:colOff>
      <xdr:row>114</xdr:row>
      <xdr:rowOff>6348</xdr:rowOff>
    </xdr:to>
    <xdr:cxnSp macro="">
      <xdr:nvCxnSpPr>
        <xdr:cNvPr id="49" name="コネクタ: 曲線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CxnSpPr>
          <a:stCxn id="50" idx="4"/>
          <a:endCxn id="45" idx="0"/>
        </xdr:cNvCxnSpPr>
      </xdr:nvCxnSpPr>
      <xdr:spPr>
        <a:xfrm rot="5400000">
          <a:off x="3778251" y="11694582"/>
          <a:ext cx="359833" cy="12700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110</xdr:row>
      <xdr:rowOff>0</xdr:rowOff>
    </xdr:from>
    <xdr:to>
      <xdr:col>23</xdr:col>
      <xdr:colOff>0</xdr:colOff>
      <xdr:row>111</xdr:row>
      <xdr:rowOff>179916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/>
      </xdr:nvSpPr>
      <xdr:spPr>
        <a:xfrm>
          <a:off x="3778250" y="11154833"/>
          <a:ext cx="359833" cy="359833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0</xdr:colOff>
      <xdr:row>120</xdr:row>
      <xdr:rowOff>100788</xdr:rowOff>
    </xdr:from>
    <xdr:ext cx="2481898" cy="25904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079500" y="13054788"/>
          <a:ext cx="2481898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発振停止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 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発振再開・水晶発振器＝異常</a:t>
          </a:r>
        </a:p>
      </xdr:txBody>
    </xdr:sp>
    <xdr:clientData/>
  </xdr:oneCellAnchor>
  <xdr:oneCellAnchor>
    <xdr:from>
      <xdr:col>26</xdr:col>
      <xdr:colOff>0</xdr:colOff>
      <xdr:row>120</xdr:row>
      <xdr:rowOff>100788</xdr:rowOff>
    </xdr:from>
    <xdr:ext cx="1898277" cy="259045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 txBox="1"/>
      </xdr:nvSpPr>
      <xdr:spPr>
        <a:xfrm>
          <a:off x="4677833" y="13054788"/>
          <a:ext cx="1898277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timer == 0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水晶発振器＝正常</a:t>
          </a:r>
        </a:p>
      </xdr:txBody>
    </xdr:sp>
    <xdr:clientData/>
  </xdr:oneCellAnchor>
  <xdr:twoCellAnchor>
    <xdr:from>
      <xdr:col>44</xdr:col>
      <xdr:colOff>63074</xdr:colOff>
      <xdr:row>123</xdr:row>
      <xdr:rowOff>179916</xdr:rowOff>
    </xdr:from>
    <xdr:to>
      <xdr:col>56</xdr:col>
      <xdr:colOff>63074</xdr:colOff>
      <xdr:row>128</xdr:row>
      <xdr:rowOff>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/>
      </xdr:nvSpPr>
      <xdr:spPr>
        <a:xfrm>
          <a:off x="7979407" y="13673666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低下時不感時間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timer = 0.25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秒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timer--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71</xdr:col>
      <xdr:colOff>63074</xdr:colOff>
      <xdr:row>111</xdr:row>
      <xdr:rowOff>179916</xdr:rowOff>
    </xdr:from>
    <xdr:to>
      <xdr:col>83</xdr:col>
      <xdr:colOff>63074</xdr:colOff>
      <xdr:row>116</xdr:row>
      <xdr:rowOff>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/>
      </xdr:nvSpPr>
      <xdr:spPr>
        <a:xfrm>
          <a:off x="12837157" y="11514666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正常時不感時間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</a:t>
          </a:r>
          <a:r>
            <a:rPr kumimoji="1" lang="ja-JP" altLang="en-US" sz="1000" baseline="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kumimoji="1" lang="en-US" altLang="ja-JP" sz="1000" baseline="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timer = 0.25</a:t>
          </a:r>
          <a:r>
            <a:rPr kumimoji="1" lang="ja-JP" altLang="en-US" sz="1000" baseline="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秒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timer--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52</xdr:col>
      <xdr:colOff>63074</xdr:colOff>
      <xdr:row>111</xdr:row>
      <xdr:rowOff>50394</xdr:rowOff>
    </xdr:from>
    <xdr:to>
      <xdr:col>54</xdr:col>
      <xdr:colOff>63074</xdr:colOff>
      <xdr:row>113</xdr:row>
      <xdr:rowOff>179916</xdr:rowOff>
    </xdr:to>
    <xdr:cxnSp macro="">
      <xdr:nvCxnSpPr>
        <xdr:cNvPr id="55" name="コネクタ: 曲線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CxnSpPr>
          <a:stCxn id="105" idx="3"/>
          <a:endCxn id="39" idx="0"/>
        </xdr:cNvCxnSpPr>
      </xdr:nvCxnSpPr>
      <xdr:spPr>
        <a:xfrm>
          <a:off x="9418741" y="11385144"/>
          <a:ext cx="359833" cy="489355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63075</xdr:colOff>
      <xdr:row>126</xdr:row>
      <xdr:rowOff>0</xdr:rowOff>
    </xdr:from>
    <xdr:to>
      <xdr:col>75</xdr:col>
      <xdr:colOff>1</xdr:colOff>
      <xdr:row>128</xdr:row>
      <xdr:rowOff>129523</xdr:rowOff>
    </xdr:to>
    <xdr:cxnSp macro="">
      <xdr:nvCxnSpPr>
        <xdr:cNvPr id="57" name="コネクタ: 曲線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CxnSpPr>
          <a:stCxn id="104" idx="1"/>
          <a:endCxn id="40" idx="2"/>
        </xdr:cNvCxnSpPr>
      </xdr:nvCxnSpPr>
      <xdr:spPr>
        <a:xfrm rot="10800000">
          <a:off x="13196992" y="14033500"/>
          <a:ext cx="296759" cy="489356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63075</xdr:colOff>
      <xdr:row>114</xdr:row>
      <xdr:rowOff>129523</xdr:rowOff>
    </xdr:from>
    <xdr:to>
      <xdr:col>63</xdr:col>
      <xdr:colOff>56316</xdr:colOff>
      <xdr:row>116</xdr:row>
      <xdr:rowOff>0</xdr:rowOff>
    </xdr:to>
    <xdr:cxnSp macro="">
      <xdr:nvCxnSpPr>
        <xdr:cNvPr id="58" name="コネクタ: 曲線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CxnSpPr>
          <a:stCxn id="107" idx="1"/>
          <a:endCxn id="39" idx="3"/>
        </xdr:cNvCxnSpPr>
      </xdr:nvCxnSpPr>
      <xdr:spPr>
        <a:xfrm rot="10800000" flipV="1">
          <a:off x="10858075" y="12004023"/>
          <a:ext cx="532991" cy="230310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69833</xdr:colOff>
      <xdr:row>124</xdr:row>
      <xdr:rowOff>0</xdr:rowOff>
    </xdr:from>
    <xdr:to>
      <xdr:col>67</xdr:col>
      <xdr:colOff>63074</xdr:colOff>
      <xdr:row>125</xdr:row>
      <xdr:rowOff>50395</xdr:rowOff>
    </xdr:to>
    <xdr:cxnSp macro="">
      <xdr:nvCxnSpPr>
        <xdr:cNvPr id="59" name="コネクタ: 曲線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CxnSpPr>
          <a:stCxn id="106" idx="3"/>
          <a:endCxn id="40" idx="1"/>
        </xdr:cNvCxnSpPr>
      </xdr:nvCxnSpPr>
      <xdr:spPr>
        <a:xfrm flipV="1">
          <a:off x="11584500" y="13673667"/>
          <a:ext cx="532991" cy="230311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45</xdr:col>
      <xdr:colOff>63074</xdr:colOff>
      <xdr:row>120</xdr:row>
      <xdr:rowOff>0</xdr:rowOff>
    </xdr:from>
    <xdr:ext cx="2546018" cy="259045"/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SpPr txBox="1"/>
      </xdr:nvSpPr>
      <xdr:spPr>
        <a:xfrm>
          <a:off x="8159324" y="12954000"/>
          <a:ext cx="2546018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電池電圧＜不感帯上限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 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電池＝電圧低下</a:t>
          </a:r>
        </a:p>
      </xdr:txBody>
    </xdr:sp>
    <xdr:clientData/>
  </xdr:oneCellAnchor>
  <xdr:oneCellAnchor>
    <xdr:from>
      <xdr:col>68</xdr:col>
      <xdr:colOff>63074</xdr:colOff>
      <xdr:row>118</xdr:row>
      <xdr:rowOff>100788</xdr:rowOff>
    </xdr:from>
    <xdr:ext cx="2546018" cy="259045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SpPr txBox="1"/>
      </xdr:nvSpPr>
      <xdr:spPr>
        <a:xfrm>
          <a:off x="12297407" y="12694955"/>
          <a:ext cx="2546018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不感帯下限≦電池電圧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 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電池＝電圧正常</a:t>
          </a:r>
        </a:p>
      </xdr:txBody>
    </xdr:sp>
    <xdr:clientData/>
  </xdr:oneCellAnchor>
  <xdr:oneCellAnchor>
    <xdr:from>
      <xdr:col>75</xdr:col>
      <xdr:colOff>0</xdr:colOff>
      <xdr:row>128</xdr:row>
      <xdr:rowOff>0</xdr:rowOff>
    </xdr:from>
    <xdr:ext cx="1862241" cy="259045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SpPr txBox="1"/>
      </xdr:nvSpPr>
      <xdr:spPr>
        <a:xfrm>
          <a:off x="13493750" y="14393333"/>
          <a:ext cx="1862241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電池電圧＜不感帯下限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 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oneCellAnchor>
    <xdr:from>
      <xdr:col>42</xdr:col>
      <xdr:colOff>0</xdr:colOff>
      <xdr:row>110</xdr:row>
      <xdr:rowOff>100788</xdr:rowOff>
    </xdr:from>
    <xdr:ext cx="1862241" cy="259045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SpPr txBox="1"/>
      </xdr:nvSpPr>
      <xdr:spPr>
        <a:xfrm>
          <a:off x="7556500" y="11255621"/>
          <a:ext cx="1862241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不感帯上限≦電池電圧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 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oneCellAnchor>
    <xdr:from>
      <xdr:col>58</xdr:col>
      <xdr:colOff>63074</xdr:colOff>
      <xdr:row>124</xdr:row>
      <xdr:rowOff>100788</xdr:rowOff>
    </xdr:from>
    <xdr:ext cx="1086259" cy="259045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SpPr txBox="1"/>
      </xdr:nvSpPr>
      <xdr:spPr>
        <a:xfrm>
          <a:off x="10498241" y="13774455"/>
          <a:ext cx="1086259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timer == 0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oneCellAnchor>
    <xdr:from>
      <xdr:col>63</xdr:col>
      <xdr:colOff>56315</xdr:colOff>
      <xdr:row>114</xdr:row>
      <xdr:rowOff>0</xdr:rowOff>
    </xdr:from>
    <xdr:ext cx="1086259" cy="259045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 txBox="1"/>
      </xdr:nvSpPr>
      <xdr:spPr>
        <a:xfrm>
          <a:off x="11391065" y="11874500"/>
          <a:ext cx="1086259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timer == 0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52</xdr:col>
      <xdr:colOff>76666</xdr:colOff>
      <xdr:row>118</xdr:row>
      <xdr:rowOff>0</xdr:rowOff>
    </xdr:from>
    <xdr:to>
      <xdr:col>54</xdr:col>
      <xdr:colOff>63074</xdr:colOff>
      <xdr:row>120</xdr:row>
      <xdr:rowOff>1</xdr:rowOff>
    </xdr:to>
    <xdr:cxnSp macro="">
      <xdr:nvCxnSpPr>
        <xdr:cNvPr id="108" name="コネクタ: 曲線 107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CxnSpPr>
          <a:stCxn id="39" idx="2"/>
          <a:endCxn id="99" idx="0"/>
        </xdr:cNvCxnSpPr>
      </xdr:nvCxnSpPr>
      <xdr:spPr>
        <a:xfrm rot="5400000">
          <a:off x="9425537" y="12600963"/>
          <a:ext cx="359834" cy="346241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111</xdr:row>
      <xdr:rowOff>50395</xdr:rowOff>
    </xdr:from>
    <xdr:to>
      <xdr:col>48</xdr:col>
      <xdr:colOff>63074</xdr:colOff>
      <xdr:row>116</xdr:row>
      <xdr:rowOff>1</xdr:rowOff>
    </xdr:to>
    <xdr:cxnSp macro="">
      <xdr:nvCxnSpPr>
        <xdr:cNvPr id="110" name="コネクタ: 曲線 109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CxnSpPr>
          <a:stCxn id="39" idx="1"/>
          <a:endCxn id="105" idx="1"/>
        </xdr:cNvCxnSpPr>
      </xdr:nvCxnSpPr>
      <xdr:spPr>
        <a:xfrm rot="10800000">
          <a:off x="7556500" y="11385145"/>
          <a:ext cx="1142574" cy="849189"/>
        </a:xfrm>
        <a:prstGeom prst="curvedConnector3">
          <a:avLst>
            <a:gd name="adj1" fmla="val 120007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63074</xdr:colOff>
      <xdr:row>114</xdr:row>
      <xdr:rowOff>0</xdr:rowOff>
    </xdr:from>
    <xdr:to>
      <xdr:col>71</xdr:col>
      <xdr:colOff>63074</xdr:colOff>
      <xdr:row>114</xdr:row>
      <xdr:rowOff>129523</xdr:rowOff>
    </xdr:to>
    <xdr:cxnSp macro="">
      <xdr:nvCxnSpPr>
        <xdr:cNvPr id="111" name="コネクタ: 曲線 110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CxnSpPr>
          <a:stCxn id="107" idx="3"/>
          <a:endCxn id="54" idx="1"/>
        </xdr:cNvCxnSpPr>
      </xdr:nvCxnSpPr>
      <xdr:spPr>
        <a:xfrm flipV="1">
          <a:off x="12477324" y="11874500"/>
          <a:ext cx="359833" cy="129523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63074</xdr:colOff>
      <xdr:row>125</xdr:row>
      <xdr:rowOff>50395</xdr:rowOff>
    </xdr:from>
    <xdr:to>
      <xdr:col>58</xdr:col>
      <xdr:colOff>63074</xdr:colOff>
      <xdr:row>126</xdr:row>
      <xdr:rowOff>0</xdr:rowOff>
    </xdr:to>
    <xdr:cxnSp macro="">
      <xdr:nvCxnSpPr>
        <xdr:cNvPr id="112" name="コネクタ: 曲線 111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CxnSpPr>
          <a:stCxn id="53" idx="3"/>
          <a:endCxn id="106" idx="1"/>
        </xdr:cNvCxnSpPr>
      </xdr:nvCxnSpPr>
      <xdr:spPr>
        <a:xfrm flipV="1">
          <a:off x="10138407" y="13903978"/>
          <a:ext cx="359834" cy="129522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63074</xdr:colOff>
      <xdr:row>124</xdr:row>
      <xdr:rowOff>0</xdr:rowOff>
    </xdr:from>
    <xdr:to>
      <xdr:col>85</xdr:col>
      <xdr:colOff>63074</xdr:colOff>
      <xdr:row>128</xdr:row>
      <xdr:rowOff>129523</xdr:rowOff>
    </xdr:to>
    <xdr:cxnSp macro="">
      <xdr:nvCxnSpPr>
        <xdr:cNvPr id="113" name="コネクタ: 曲線 112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CxnSpPr>
          <a:stCxn id="104" idx="3"/>
          <a:endCxn id="40" idx="3"/>
        </xdr:cNvCxnSpPr>
      </xdr:nvCxnSpPr>
      <xdr:spPr>
        <a:xfrm flipH="1" flipV="1">
          <a:off x="14276491" y="13673667"/>
          <a:ext cx="1079500" cy="849189"/>
        </a:xfrm>
        <a:prstGeom prst="curvedConnector3">
          <a:avLst>
            <a:gd name="adj1" fmla="val -21176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63074</xdr:colOff>
      <xdr:row>120</xdr:row>
      <xdr:rowOff>1</xdr:rowOff>
    </xdr:from>
    <xdr:to>
      <xdr:col>75</xdr:col>
      <xdr:colOff>76666</xdr:colOff>
      <xdr:row>122</xdr:row>
      <xdr:rowOff>1</xdr:rowOff>
    </xdr:to>
    <xdr:cxnSp macro="">
      <xdr:nvCxnSpPr>
        <xdr:cNvPr id="114" name="コネクタ: 曲線 113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CxnSpPr>
          <a:stCxn id="40" idx="0"/>
          <a:endCxn id="100" idx="2"/>
        </xdr:cNvCxnSpPr>
      </xdr:nvCxnSpPr>
      <xdr:spPr>
        <a:xfrm rot="5400000" flipH="1" flipV="1">
          <a:off x="13203787" y="12947205"/>
          <a:ext cx="359833" cy="373425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161450</xdr:colOff>
      <xdr:row>116</xdr:row>
      <xdr:rowOff>0</xdr:rowOff>
    </xdr:from>
    <xdr:to>
      <xdr:col>16</xdr:col>
      <xdr:colOff>1</xdr:colOff>
      <xdr:row>120</xdr:row>
      <xdr:rowOff>100788</xdr:rowOff>
    </xdr:to>
    <xdr:cxnSp macro="">
      <xdr:nvCxnSpPr>
        <xdr:cNvPr id="115" name="コネクタ: 曲線 114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CxnSpPr>
          <a:stCxn id="2" idx="0"/>
          <a:endCxn id="45" idx="1"/>
        </xdr:cNvCxnSpPr>
      </xdr:nvCxnSpPr>
      <xdr:spPr>
        <a:xfrm rot="5400000" flipH="1" flipV="1">
          <a:off x="2189331" y="12365452"/>
          <a:ext cx="820455" cy="558218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</xdr:colOff>
      <xdr:row>122</xdr:row>
      <xdr:rowOff>0</xdr:rowOff>
    </xdr:from>
    <xdr:to>
      <xdr:col>31</xdr:col>
      <xdr:colOff>49556</xdr:colOff>
      <xdr:row>126</xdr:row>
      <xdr:rowOff>0</xdr:rowOff>
    </xdr:to>
    <xdr:cxnSp macro="">
      <xdr:nvCxnSpPr>
        <xdr:cNvPr id="116" name="コネクタ: 曲線 115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CxnSpPr>
          <a:stCxn id="52" idx="2"/>
          <a:endCxn id="46" idx="3"/>
        </xdr:cNvCxnSpPr>
      </xdr:nvCxnSpPr>
      <xdr:spPr>
        <a:xfrm rot="5400000">
          <a:off x="5062445" y="13468972"/>
          <a:ext cx="719667" cy="409389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67217</xdr:colOff>
      <xdr:row>9</xdr:row>
      <xdr:rowOff>0</xdr:rowOff>
    </xdr:from>
    <xdr:ext cx="1350241" cy="259045"/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 txBox="1"/>
      </xdr:nvSpPr>
      <xdr:spPr>
        <a:xfrm>
          <a:off x="9962634" y="1619250"/>
          <a:ext cx="1350241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PowerSW==ON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62</xdr:col>
      <xdr:colOff>158042</xdr:colOff>
      <xdr:row>9</xdr:row>
      <xdr:rowOff>129523</xdr:rowOff>
    </xdr:from>
    <xdr:to>
      <xdr:col>68</xdr:col>
      <xdr:colOff>0</xdr:colOff>
      <xdr:row>10</xdr:row>
      <xdr:rowOff>0</xdr:rowOff>
    </xdr:to>
    <xdr:cxnSp macro="">
      <xdr:nvCxnSpPr>
        <xdr:cNvPr id="145" name="コネクタ: 曲線 144">
          <a:extLst>
            <a:ext uri="{FF2B5EF4-FFF2-40B4-BE49-F238E27FC236}">
              <a16:creationId xmlns:a16="http://schemas.microsoft.com/office/drawing/2014/main" id="{00000000-0008-0000-0700-000091000000}"/>
            </a:ext>
          </a:extLst>
        </xdr:cNvPr>
        <xdr:cNvCxnSpPr>
          <a:cxnSpLocks/>
          <a:stCxn id="144" idx="3"/>
          <a:endCxn id="18" idx="1"/>
        </xdr:cNvCxnSpPr>
      </xdr:nvCxnSpPr>
      <xdr:spPr>
        <a:xfrm>
          <a:off x="11312875" y="1748773"/>
          <a:ext cx="921458" cy="50394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0</xdr:colOff>
      <xdr:row>44</xdr:row>
      <xdr:rowOff>0</xdr:rowOff>
    </xdr:from>
    <xdr:ext cx="1326710" cy="259045"/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00000000-0008-0000-0700-000092000000}"/>
            </a:ext>
          </a:extLst>
        </xdr:cNvPr>
        <xdr:cNvSpPr txBox="1"/>
      </xdr:nvSpPr>
      <xdr:spPr>
        <a:xfrm>
          <a:off x="7556500" y="7916333"/>
          <a:ext cx="1326710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OriginSW==ON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49</xdr:col>
      <xdr:colOff>67293</xdr:colOff>
      <xdr:row>40</xdr:row>
      <xdr:rowOff>0</xdr:rowOff>
    </xdr:from>
    <xdr:to>
      <xdr:col>67</xdr:col>
      <xdr:colOff>0</xdr:colOff>
      <xdr:row>44</xdr:row>
      <xdr:rowOff>129523</xdr:rowOff>
    </xdr:to>
    <xdr:cxnSp macro="">
      <xdr:nvCxnSpPr>
        <xdr:cNvPr id="147" name="コネクタ: 曲線 146">
          <a:extLst>
            <a:ext uri="{FF2B5EF4-FFF2-40B4-BE49-F238E27FC236}">
              <a16:creationId xmlns:a16="http://schemas.microsoft.com/office/drawing/2014/main" id="{00000000-0008-0000-0700-000093000000}"/>
            </a:ext>
          </a:extLst>
        </xdr:cNvPr>
        <xdr:cNvCxnSpPr>
          <a:stCxn id="146" idx="3"/>
          <a:endCxn id="24" idx="2"/>
        </xdr:cNvCxnSpPr>
      </xdr:nvCxnSpPr>
      <xdr:spPr>
        <a:xfrm flipV="1">
          <a:off x="8883210" y="7196667"/>
          <a:ext cx="3171207" cy="849189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25</xdr:row>
      <xdr:rowOff>100788</xdr:rowOff>
    </xdr:from>
    <xdr:ext cx="1265090" cy="259045"/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00000000-0008-0000-0700-000094000000}"/>
            </a:ext>
          </a:extLst>
        </xdr:cNvPr>
        <xdr:cNvSpPr txBox="1"/>
      </xdr:nvSpPr>
      <xdr:spPr>
        <a:xfrm>
          <a:off x="5757333" y="4598705"/>
          <a:ext cx="1265090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StopSW==ON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39</xdr:col>
      <xdr:colOff>5673</xdr:colOff>
      <xdr:row>26</xdr:row>
      <xdr:rowOff>50395</xdr:rowOff>
    </xdr:from>
    <xdr:to>
      <xdr:col>45</xdr:col>
      <xdr:colOff>0</xdr:colOff>
      <xdr:row>33</xdr:row>
      <xdr:rowOff>179916</xdr:rowOff>
    </xdr:to>
    <xdr:cxnSp macro="">
      <xdr:nvCxnSpPr>
        <xdr:cNvPr id="149" name="コネクタ: 曲線 148">
          <a:extLst>
            <a:ext uri="{FF2B5EF4-FFF2-40B4-BE49-F238E27FC236}">
              <a16:creationId xmlns:a16="http://schemas.microsoft.com/office/drawing/2014/main" id="{00000000-0008-0000-0700-000095000000}"/>
            </a:ext>
          </a:extLst>
        </xdr:cNvPr>
        <xdr:cNvCxnSpPr>
          <a:stCxn id="148" idx="3"/>
          <a:endCxn id="22" idx="3"/>
        </xdr:cNvCxnSpPr>
      </xdr:nvCxnSpPr>
      <xdr:spPr>
        <a:xfrm>
          <a:off x="7022423" y="4728228"/>
          <a:ext cx="1073827" cy="1388938"/>
        </a:xfrm>
        <a:prstGeom prst="curvedConnector3">
          <a:avLst>
            <a:gd name="adj1" fmla="val 121288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175115</xdr:colOff>
      <xdr:row>32</xdr:row>
      <xdr:rowOff>0</xdr:rowOff>
    </xdr:from>
    <xdr:ext cx="2343719" cy="259045"/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SpPr txBox="1"/>
      </xdr:nvSpPr>
      <xdr:spPr>
        <a:xfrm>
          <a:off x="2154198" y="5757333"/>
          <a:ext cx="2343719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StopSW==OFF &amp;&amp;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倍速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SW==OFF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14</xdr:col>
      <xdr:colOff>0</xdr:colOff>
      <xdr:row>28</xdr:row>
      <xdr:rowOff>0</xdr:rowOff>
    </xdr:from>
    <xdr:to>
      <xdr:col>18</xdr:col>
      <xdr:colOff>87558</xdr:colOff>
      <xdr:row>32</xdr:row>
      <xdr:rowOff>0</xdr:rowOff>
    </xdr:to>
    <xdr:cxnSp macro="">
      <xdr:nvCxnSpPr>
        <xdr:cNvPr id="151" name="コネクタ: 曲線 150">
          <a:extLst>
            <a:ext uri="{FF2B5EF4-FFF2-40B4-BE49-F238E27FC236}">
              <a16:creationId xmlns:a16="http://schemas.microsoft.com/office/drawing/2014/main" id="{00000000-0008-0000-0700-000097000000}"/>
            </a:ext>
          </a:extLst>
        </xdr:cNvPr>
        <xdr:cNvCxnSpPr>
          <a:stCxn id="150" idx="0"/>
          <a:endCxn id="23" idx="2"/>
        </xdr:cNvCxnSpPr>
      </xdr:nvCxnSpPr>
      <xdr:spPr>
        <a:xfrm rot="16200000" flipV="1">
          <a:off x="2562613" y="4993887"/>
          <a:ext cx="719666" cy="807225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19243</xdr:colOff>
      <xdr:row>7</xdr:row>
      <xdr:rowOff>0</xdr:rowOff>
    </xdr:from>
    <xdr:ext cx="2319674" cy="259045"/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00000000-0008-0000-0700-000098000000}"/>
            </a:ext>
          </a:extLst>
        </xdr:cNvPr>
        <xdr:cNvSpPr txBox="1"/>
      </xdr:nvSpPr>
      <xdr:spPr>
        <a:xfrm>
          <a:off x="3617576" y="2698750"/>
          <a:ext cx="2319674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StopSW==OFF &amp;&amp; LinitSW==OFF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33</xdr:col>
      <xdr:colOff>0</xdr:colOff>
      <xdr:row>7</xdr:row>
      <xdr:rowOff>129523</xdr:rowOff>
    </xdr:from>
    <xdr:to>
      <xdr:col>40</xdr:col>
      <xdr:colOff>0</xdr:colOff>
      <xdr:row>9</xdr:row>
      <xdr:rowOff>1</xdr:rowOff>
    </xdr:to>
    <xdr:cxnSp macro="">
      <xdr:nvCxnSpPr>
        <xdr:cNvPr id="155" name="コネクタ: 曲線 154">
          <a:extLst>
            <a:ext uri="{FF2B5EF4-FFF2-40B4-BE49-F238E27FC236}">
              <a16:creationId xmlns:a16="http://schemas.microsoft.com/office/drawing/2014/main" id="{00000000-0008-0000-0700-00009B000000}"/>
            </a:ext>
          </a:extLst>
        </xdr:cNvPr>
        <xdr:cNvCxnSpPr>
          <a:stCxn id="152" idx="3"/>
          <a:endCxn id="19" idx="1"/>
        </xdr:cNvCxnSpPr>
      </xdr:nvCxnSpPr>
      <xdr:spPr>
        <a:xfrm>
          <a:off x="5937250" y="2828273"/>
          <a:ext cx="1259417" cy="230311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0</xdr:colOff>
      <xdr:row>41</xdr:row>
      <xdr:rowOff>0</xdr:rowOff>
    </xdr:from>
    <xdr:ext cx="2343719" cy="259045"/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00000000-0008-0000-0700-00009C000000}"/>
            </a:ext>
          </a:extLst>
        </xdr:cNvPr>
        <xdr:cNvSpPr txBox="1"/>
      </xdr:nvSpPr>
      <xdr:spPr>
        <a:xfrm>
          <a:off x="3778250" y="7376583"/>
          <a:ext cx="2343719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StopSW==OFF &amp;&amp;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倍速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SW==OFF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34</xdr:col>
      <xdr:colOff>4802</xdr:colOff>
      <xdr:row>33</xdr:row>
      <xdr:rowOff>179916</xdr:rowOff>
    </xdr:from>
    <xdr:to>
      <xdr:col>45</xdr:col>
      <xdr:colOff>0</xdr:colOff>
      <xdr:row>41</xdr:row>
      <xdr:rowOff>129523</xdr:rowOff>
    </xdr:to>
    <xdr:cxnSp macro="">
      <xdr:nvCxnSpPr>
        <xdr:cNvPr id="157" name="コネクタ: 曲線 156">
          <a:extLst>
            <a:ext uri="{FF2B5EF4-FFF2-40B4-BE49-F238E27FC236}">
              <a16:creationId xmlns:a16="http://schemas.microsoft.com/office/drawing/2014/main" id="{00000000-0008-0000-0700-00009D000000}"/>
            </a:ext>
          </a:extLst>
        </xdr:cNvPr>
        <xdr:cNvCxnSpPr>
          <a:stCxn id="156" idx="3"/>
          <a:endCxn id="22" idx="3"/>
        </xdr:cNvCxnSpPr>
      </xdr:nvCxnSpPr>
      <xdr:spPr>
        <a:xfrm flipV="1">
          <a:off x="6121969" y="6117166"/>
          <a:ext cx="1974281" cy="1388940"/>
        </a:xfrm>
        <a:prstGeom prst="curvedConnector3">
          <a:avLst>
            <a:gd name="adj1" fmla="val 111579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0</xdr:colOff>
      <xdr:row>3</xdr:row>
      <xdr:rowOff>100789</xdr:rowOff>
    </xdr:from>
    <xdr:ext cx="2100127" cy="259045"/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00000000-0008-0000-0700-00009F000000}"/>
            </a:ext>
          </a:extLst>
        </xdr:cNvPr>
        <xdr:cNvSpPr txBox="1"/>
      </xdr:nvSpPr>
      <xdr:spPr>
        <a:xfrm>
          <a:off x="3598333" y="2079872"/>
          <a:ext cx="2100127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StopSW==ON ||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 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LimitSW==ON/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8</xdr:col>
      <xdr:colOff>1</xdr:colOff>
      <xdr:row>4</xdr:row>
      <xdr:rowOff>50395</xdr:rowOff>
    </xdr:from>
    <xdr:to>
      <xdr:col>20</xdr:col>
      <xdr:colOff>1</xdr:colOff>
      <xdr:row>7</xdr:row>
      <xdr:rowOff>0</xdr:rowOff>
    </xdr:to>
    <xdr:cxnSp macro="">
      <xdr:nvCxnSpPr>
        <xdr:cNvPr id="160" name="コネクタ: 曲線 159">
          <a:extLst>
            <a:ext uri="{FF2B5EF4-FFF2-40B4-BE49-F238E27FC236}">
              <a16:creationId xmlns:a16="http://schemas.microsoft.com/office/drawing/2014/main" id="{00000000-0008-0000-0700-0000A0000000}"/>
            </a:ext>
          </a:extLst>
        </xdr:cNvPr>
        <xdr:cNvCxnSpPr>
          <a:stCxn id="153" idx="0"/>
          <a:endCxn id="159" idx="1"/>
        </xdr:cNvCxnSpPr>
      </xdr:nvCxnSpPr>
      <xdr:spPr>
        <a:xfrm rot="5400000" flipH="1" flipV="1">
          <a:off x="2274156" y="1374573"/>
          <a:ext cx="489355" cy="2159000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173158</xdr:colOff>
      <xdr:row>15</xdr:row>
      <xdr:rowOff>0</xdr:rowOff>
    </xdr:from>
    <xdr:ext cx="1086259" cy="259045"/>
    <xdr:sp macro="" textlink="">
      <xdr:nvSpPr>
        <xdr:cNvPr id="161" name="テキスト ボックス 160">
          <a:extLst>
            <a:ext uri="{FF2B5EF4-FFF2-40B4-BE49-F238E27FC236}">
              <a16:creationId xmlns:a16="http://schemas.microsoft.com/office/drawing/2014/main" id="{00000000-0008-0000-0700-0000A1000000}"/>
            </a:ext>
          </a:extLst>
        </xdr:cNvPr>
        <xdr:cNvSpPr txBox="1"/>
      </xdr:nvSpPr>
      <xdr:spPr>
        <a:xfrm>
          <a:off x="7549741" y="4138083"/>
          <a:ext cx="1086259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timer == 0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40</xdr:col>
      <xdr:colOff>0</xdr:colOff>
      <xdr:row>9</xdr:row>
      <xdr:rowOff>1</xdr:rowOff>
    </xdr:from>
    <xdr:to>
      <xdr:col>41</xdr:col>
      <xdr:colOff>173158</xdr:colOff>
      <xdr:row>15</xdr:row>
      <xdr:rowOff>129523</xdr:rowOff>
    </xdr:to>
    <xdr:cxnSp macro="">
      <xdr:nvCxnSpPr>
        <xdr:cNvPr id="162" name="コネクタ: 曲線 161">
          <a:extLst>
            <a:ext uri="{FF2B5EF4-FFF2-40B4-BE49-F238E27FC236}">
              <a16:creationId xmlns:a16="http://schemas.microsoft.com/office/drawing/2014/main" id="{00000000-0008-0000-0700-0000A2000000}"/>
            </a:ext>
          </a:extLst>
        </xdr:cNvPr>
        <xdr:cNvCxnSpPr>
          <a:stCxn id="19" idx="1"/>
          <a:endCxn id="161" idx="1"/>
        </xdr:cNvCxnSpPr>
      </xdr:nvCxnSpPr>
      <xdr:spPr>
        <a:xfrm rot="10800000" flipH="1" flipV="1">
          <a:off x="7196667" y="3058584"/>
          <a:ext cx="353074" cy="1209022"/>
        </a:xfrm>
        <a:prstGeom prst="curvedConnector3">
          <a:avLst>
            <a:gd name="adj1" fmla="val -64746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57</xdr:col>
      <xdr:colOff>0</xdr:colOff>
      <xdr:row>32</xdr:row>
      <xdr:rowOff>0</xdr:rowOff>
    </xdr:from>
    <xdr:ext cx="1276632" cy="259045"/>
    <xdr:sp macro="" textlink="">
      <xdr:nvSpPr>
        <xdr:cNvPr id="163" name="テキスト ボックス 162">
          <a:extLst>
            <a:ext uri="{FF2B5EF4-FFF2-40B4-BE49-F238E27FC236}">
              <a16:creationId xmlns:a16="http://schemas.microsoft.com/office/drawing/2014/main" id="{00000000-0008-0000-0700-0000A3000000}"/>
            </a:ext>
          </a:extLst>
        </xdr:cNvPr>
        <xdr:cNvSpPr txBox="1"/>
      </xdr:nvSpPr>
      <xdr:spPr>
        <a:xfrm>
          <a:off x="10255250" y="5757333"/>
          <a:ext cx="1276632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LimitSW==ON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49</xdr:col>
      <xdr:colOff>0</xdr:colOff>
      <xdr:row>30</xdr:row>
      <xdr:rowOff>89959</xdr:rowOff>
    </xdr:from>
    <xdr:to>
      <xdr:col>57</xdr:col>
      <xdr:colOff>0</xdr:colOff>
      <xdr:row>32</xdr:row>
      <xdr:rowOff>129523</xdr:rowOff>
    </xdr:to>
    <xdr:cxnSp macro="">
      <xdr:nvCxnSpPr>
        <xdr:cNvPr id="166" name="コネクタ: 曲線 165">
          <a:extLst>
            <a:ext uri="{FF2B5EF4-FFF2-40B4-BE49-F238E27FC236}">
              <a16:creationId xmlns:a16="http://schemas.microsoft.com/office/drawing/2014/main" id="{00000000-0008-0000-0700-0000A6000000}"/>
            </a:ext>
          </a:extLst>
        </xdr:cNvPr>
        <xdr:cNvCxnSpPr>
          <a:stCxn id="101" idx="3"/>
          <a:endCxn id="163" idx="1"/>
        </xdr:cNvCxnSpPr>
      </xdr:nvCxnSpPr>
      <xdr:spPr>
        <a:xfrm>
          <a:off x="8815917" y="5487459"/>
          <a:ext cx="1439333" cy="399397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0</xdr:colOff>
      <xdr:row>29</xdr:row>
      <xdr:rowOff>0</xdr:rowOff>
    </xdr:from>
    <xdr:ext cx="2284536" cy="259045"/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00000000-0008-0000-0700-0000A7000000}"/>
            </a:ext>
          </a:extLst>
        </xdr:cNvPr>
        <xdr:cNvSpPr txBox="1"/>
      </xdr:nvSpPr>
      <xdr:spPr>
        <a:xfrm>
          <a:off x="3958167" y="5217583"/>
          <a:ext cx="2284536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StopSW==OFF &amp;&amp;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倍速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SW==ON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14</xdr:col>
      <xdr:colOff>1</xdr:colOff>
      <xdr:row>27</xdr:row>
      <xdr:rowOff>179916</xdr:rowOff>
    </xdr:from>
    <xdr:to>
      <xdr:col>22</xdr:col>
      <xdr:colOff>1</xdr:colOff>
      <xdr:row>29</xdr:row>
      <xdr:rowOff>129522</xdr:rowOff>
    </xdr:to>
    <xdr:cxnSp macro="">
      <xdr:nvCxnSpPr>
        <xdr:cNvPr id="169" name="コネクタ: 曲線 168">
          <a:extLst>
            <a:ext uri="{FF2B5EF4-FFF2-40B4-BE49-F238E27FC236}">
              <a16:creationId xmlns:a16="http://schemas.microsoft.com/office/drawing/2014/main" id="{00000000-0008-0000-0700-0000A9000000}"/>
            </a:ext>
          </a:extLst>
        </xdr:cNvPr>
        <xdr:cNvCxnSpPr>
          <a:stCxn id="23" idx="2"/>
          <a:endCxn id="167" idx="1"/>
        </xdr:cNvCxnSpPr>
      </xdr:nvCxnSpPr>
      <xdr:spPr>
        <a:xfrm rot="16200000" flipH="1">
          <a:off x="3083781" y="4472719"/>
          <a:ext cx="309439" cy="1439334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174244</xdr:colOff>
      <xdr:row>30</xdr:row>
      <xdr:rowOff>0</xdr:rowOff>
    </xdr:from>
    <xdr:ext cx="1265090" cy="259045"/>
    <xdr:sp macro="" textlink="">
      <xdr:nvSpPr>
        <xdr:cNvPr id="172" name="テキスト ボックス 171">
          <a:extLst>
            <a:ext uri="{FF2B5EF4-FFF2-40B4-BE49-F238E27FC236}">
              <a16:creationId xmlns:a16="http://schemas.microsoft.com/office/drawing/2014/main" id="{00000000-0008-0000-0700-0000AC000000}"/>
            </a:ext>
          </a:extLst>
        </xdr:cNvPr>
        <xdr:cNvSpPr txBox="1"/>
      </xdr:nvSpPr>
      <xdr:spPr>
        <a:xfrm>
          <a:off x="534077" y="5397500"/>
          <a:ext cx="1265090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StopSW==ON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6</xdr:col>
      <xdr:colOff>87123</xdr:colOff>
      <xdr:row>31</xdr:row>
      <xdr:rowOff>79128</xdr:rowOff>
    </xdr:from>
    <xdr:to>
      <xdr:col>8</xdr:col>
      <xdr:colOff>1</xdr:colOff>
      <xdr:row>38</xdr:row>
      <xdr:rowOff>0</xdr:rowOff>
    </xdr:to>
    <xdr:cxnSp macro="">
      <xdr:nvCxnSpPr>
        <xdr:cNvPr id="173" name="コネクタ: 曲線 172">
          <a:extLst>
            <a:ext uri="{FF2B5EF4-FFF2-40B4-BE49-F238E27FC236}">
              <a16:creationId xmlns:a16="http://schemas.microsoft.com/office/drawing/2014/main" id="{00000000-0008-0000-0700-0000AD000000}"/>
            </a:ext>
          </a:extLst>
        </xdr:cNvPr>
        <xdr:cNvCxnSpPr>
          <a:stCxn id="21" idx="1"/>
          <a:endCxn id="172" idx="2"/>
        </xdr:cNvCxnSpPr>
      </xdr:nvCxnSpPr>
      <xdr:spPr>
        <a:xfrm rot="10800000">
          <a:off x="1166623" y="5656545"/>
          <a:ext cx="272711" cy="1180288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54381</xdr:colOff>
      <xdr:row>38</xdr:row>
      <xdr:rowOff>0</xdr:rowOff>
    </xdr:from>
    <xdr:ext cx="2284536" cy="259045"/>
    <xdr:sp macro="" textlink="">
      <xdr:nvSpPr>
        <xdr:cNvPr id="174" name="テキスト ボックス 173">
          <a:extLst>
            <a:ext uri="{FF2B5EF4-FFF2-40B4-BE49-F238E27FC236}">
              <a16:creationId xmlns:a16="http://schemas.microsoft.com/office/drawing/2014/main" id="{00000000-0008-0000-0700-0000AE000000}"/>
            </a:ext>
          </a:extLst>
        </xdr:cNvPr>
        <xdr:cNvSpPr txBox="1"/>
      </xdr:nvSpPr>
      <xdr:spPr>
        <a:xfrm>
          <a:off x="4372381" y="6836833"/>
          <a:ext cx="2284536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StopSW==OFF &amp;&amp;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倍速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SW==ON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20</xdr:col>
      <xdr:colOff>0</xdr:colOff>
      <xdr:row>38</xdr:row>
      <xdr:rowOff>0</xdr:rowOff>
    </xdr:from>
    <xdr:to>
      <xdr:col>24</xdr:col>
      <xdr:colOff>54381</xdr:colOff>
      <xdr:row>38</xdr:row>
      <xdr:rowOff>129523</xdr:rowOff>
    </xdr:to>
    <xdr:cxnSp macro="">
      <xdr:nvCxnSpPr>
        <xdr:cNvPr id="175" name="コネクタ: 曲線 174">
          <a:extLst>
            <a:ext uri="{FF2B5EF4-FFF2-40B4-BE49-F238E27FC236}">
              <a16:creationId xmlns:a16="http://schemas.microsoft.com/office/drawing/2014/main" id="{00000000-0008-0000-0700-0000AF000000}"/>
            </a:ext>
          </a:extLst>
        </xdr:cNvPr>
        <xdr:cNvCxnSpPr>
          <a:stCxn id="21" idx="3"/>
          <a:endCxn id="174" idx="1"/>
        </xdr:cNvCxnSpPr>
      </xdr:nvCxnSpPr>
      <xdr:spPr>
        <a:xfrm>
          <a:off x="3598333" y="6836833"/>
          <a:ext cx="774048" cy="129523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74</xdr:col>
      <xdr:colOff>0</xdr:colOff>
      <xdr:row>33</xdr:row>
      <xdr:rowOff>0</xdr:rowOff>
    </xdr:from>
    <xdr:ext cx="1086259" cy="259045"/>
    <xdr:sp macro="" textlink="">
      <xdr:nvSpPr>
        <xdr:cNvPr id="176" name="テキスト ボックス 175">
          <a:extLst>
            <a:ext uri="{FF2B5EF4-FFF2-40B4-BE49-F238E27FC236}">
              <a16:creationId xmlns:a16="http://schemas.microsoft.com/office/drawing/2014/main" id="{00000000-0008-0000-0700-0000B0000000}"/>
            </a:ext>
          </a:extLst>
        </xdr:cNvPr>
        <xdr:cNvSpPr txBox="1"/>
      </xdr:nvSpPr>
      <xdr:spPr>
        <a:xfrm>
          <a:off x="13313833" y="5937250"/>
          <a:ext cx="1086259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timer == 0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73</xdr:col>
      <xdr:colOff>1</xdr:colOff>
      <xdr:row>34</xdr:row>
      <xdr:rowOff>79127</xdr:rowOff>
    </xdr:from>
    <xdr:to>
      <xdr:col>77</xdr:col>
      <xdr:colOff>3381</xdr:colOff>
      <xdr:row>38</xdr:row>
      <xdr:rowOff>0</xdr:rowOff>
    </xdr:to>
    <xdr:cxnSp macro="">
      <xdr:nvCxnSpPr>
        <xdr:cNvPr id="177" name="コネクタ: 曲線 176">
          <a:extLst>
            <a:ext uri="{FF2B5EF4-FFF2-40B4-BE49-F238E27FC236}">
              <a16:creationId xmlns:a16="http://schemas.microsoft.com/office/drawing/2014/main" id="{00000000-0008-0000-0700-0000B1000000}"/>
            </a:ext>
          </a:extLst>
        </xdr:cNvPr>
        <xdr:cNvCxnSpPr>
          <a:stCxn id="176" idx="2"/>
          <a:endCxn id="24" idx="3"/>
        </xdr:cNvCxnSpPr>
      </xdr:nvCxnSpPr>
      <xdr:spPr>
        <a:xfrm rot="5400000">
          <a:off x="13175171" y="6155041"/>
          <a:ext cx="640539" cy="723046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0</xdr:colOff>
      <xdr:row>87</xdr:row>
      <xdr:rowOff>100788</xdr:rowOff>
    </xdr:from>
    <xdr:ext cx="1841273" cy="259045"/>
    <xdr:sp macro="" textlink="">
      <xdr:nvSpPr>
        <xdr:cNvPr id="178" name="テキスト ボックス 177">
          <a:extLst>
            <a:ext uri="{FF2B5EF4-FFF2-40B4-BE49-F238E27FC236}">
              <a16:creationId xmlns:a16="http://schemas.microsoft.com/office/drawing/2014/main" id="{00000000-0008-0000-0700-0000B2000000}"/>
            </a:ext>
          </a:extLst>
        </xdr:cNvPr>
        <xdr:cNvSpPr txBox="1"/>
      </xdr:nvSpPr>
      <xdr:spPr>
        <a:xfrm>
          <a:off x="10075333" y="13054788"/>
          <a:ext cx="1841273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変換完了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 / FVR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電圧変換設定</a:t>
          </a:r>
        </a:p>
      </xdr:txBody>
    </xdr:sp>
    <xdr:clientData/>
  </xdr:oneCellAnchor>
  <xdr:twoCellAnchor>
    <xdr:from>
      <xdr:col>66</xdr:col>
      <xdr:colOff>42106</xdr:colOff>
      <xdr:row>88</xdr:row>
      <xdr:rowOff>50394</xdr:rowOff>
    </xdr:from>
    <xdr:to>
      <xdr:col>72</xdr:col>
      <xdr:colOff>0</xdr:colOff>
      <xdr:row>89</xdr:row>
      <xdr:rowOff>1</xdr:rowOff>
    </xdr:to>
    <xdr:cxnSp macro="">
      <xdr:nvCxnSpPr>
        <xdr:cNvPr id="179" name="コネクタ: 曲線 178">
          <a:extLst>
            <a:ext uri="{FF2B5EF4-FFF2-40B4-BE49-F238E27FC236}">
              <a16:creationId xmlns:a16="http://schemas.microsoft.com/office/drawing/2014/main" id="{00000000-0008-0000-0700-0000B3000000}"/>
            </a:ext>
          </a:extLst>
        </xdr:cNvPr>
        <xdr:cNvCxnSpPr>
          <a:stCxn id="178" idx="3"/>
          <a:endCxn id="12" idx="1"/>
        </xdr:cNvCxnSpPr>
      </xdr:nvCxnSpPr>
      <xdr:spPr>
        <a:xfrm>
          <a:off x="11916606" y="13184311"/>
          <a:ext cx="1037394" cy="129523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0</xdr:colOff>
      <xdr:row>14</xdr:row>
      <xdr:rowOff>0</xdr:rowOff>
    </xdr:from>
    <xdr:ext cx="1326710" cy="259045"/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00000000-0008-0000-0700-0000B4000000}"/>
            </a:ext>
          </a:extLst>
        </xdr:cNvPr>
        <xdr:cNvSpPr txBox="1"/>
      </xdr:nvSpPr>
      <xdr:spPr>
        <a:xfrm>
          <a:off x="14933083" y="3958167"/>
          <a:ext cx="1326710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OriginSW==ON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84</xdr:col>
      <xdr:colOff>1</xdr:colOff>
      <xdr:row>15</xdr:row>
      <xdr:rowOff>79127</xdr:rowOff>
    </xdr:from>
    <xdr:to>
      <xdr:col>86</xdr:col>
      <xdr:colOff>123606</xdr:colOff>
      <xdr:row>27</xdr:row>
      <xdr:rowOff>0</xdr:rowOff>
    </xdr:to>
    <xdr:cxnSp macro="">
      <xdr:nvCxnSpPr>
        <xdr:cNvPr id="181" name="コネクタ: 曲線 180">
          <a:extLst>
            <a:ext uri="{FF2B5EF4-FFF2-40B4-BE49-F238E27FC236}">
              <a16:creationId xmlns:a16="http://schemas.microsoft.com/office/drawing/2014/main" id="{00000000-0008-0000-0700-0000B5000000}"/>
            </a:ext>
          </a:extLst>
        </xdr:cNvPr>
        <xdr:cNvCxnSpPr>
          <a:stCxn id="180" idx="2"/>
          <a:endCxn id="164" idx="3"/>
        </xdr:cNvCxnSpPr>
      </xdr:nvCxnSpPr>
      <xdr:spPr>
        <a:xfrm rot="5400000">
          <a:off x="14314783" y="3576095"/>
          <a:ext cx="2079873" cy="483438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79960</xdr:colOff>
      <xdr:row>13</xdr:row>
      <xdr:rowOff>0</xdr:rowOff>
    </xdr:from>
    <xdr:ext cx="2438873" cy="259045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00000000-0008-0000-0700-0000B6000000}"/>
            </a:ext>
          </a:extLst>
        </xdr:cNvPr>
        <xdr:cNvSpPr txBox="1"/>
      </xdr:nvSpPr>
      <xdr:spPr>
        <a:xfrm>
          <a:off x="3858210" y="3778250"/>
          <a:ext cx="2438873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toggle = 0 &amp;&amp; PowerSW==OFF  / toggle=1</a:t>
          </a:r>
          <a:endParaRPr kumimoji="1" lang="ja-JP" altLang="en-US" sz="1000">
            <a:solidFill>
              <a:schemeClr val="dk1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28</xdr:col>
      <xdr:colOff>39980</xdr:colOff>
      <xdr:row>9</xdr:row>
      <xdr:rowOff>1</xdr:rowOff>
    </xdr:from>
    <xdr:to>
      <xdr:col>40</xdr:col>
      <xdr:colOff>0</xdr:colOff>
      <xdr:row>13</xdr:row>
      <xdr:rowOff>0</xdr:rowOff>
    </xdr:to>
    <xdr:cxnSp macro="">
      <xdr:nvCxnSpPr>
        <xdr:cNvPr id="183" name="コネクタ: 曲線 182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CxnSpPr>
          <a:stCxn id="19" idx="1"/>
          <a:endCxn id="182" idx="0"/>
        </xdr:cNvCxnSpPr>
      </xdr:nvCxnSpPr>
      <xdr:spPr>
        <a:xfrm rot="10800000" flipV="1">
          <a:off x="5077647" y="3058584"/>
          <a:ext cx="2119020" cy="719666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106630</xdr:colOff>
      <xdr:row>97</xdr:row>
      <xdr:rowOff>100788</xdr:rowOff>
    </xdr:from>
    <xdr:ext cx="2592120" cy="259045"/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00000000-0008-0000-0700-0000BC000000}"/>
            </a:ext>
          </a:extLst>
        </xdr:cNvPr>
        <xdr:cNvSpPr txBox="1"/>
      </xdr:nvSpPr>
      <xdr:spPr>
        <a:xfrm>
          <a:off x="2265630" y="14853955"/>
          <a:ext cx="2592120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変換完了 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[count==0]  / CEMF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電圧検出設定</a:t>
          </a:r>
        </a:p>
      </xdr:txBody>
    </xdr:sp>
    <xdr:clientData/>
  </xdr:oneCellAnchor>
  <xdr:twoCellAnchor>
    <xdr:from>
      <xdr:col>19</xdr:col>
      <xdr:colOff>143273</xdr:colOff>
      <xdr:row>89</xdr:row>
      <xdr:rowOff>0</xdr:rowOff>
    </xdr:from>
    <xdr:to>
      <xdr:col>36</xdr:col>
      <xdr:colOff>0</xdr:colOff>
      <xdr:row>97</xdr:row>
      <xdr:rowOff>100787</xdr:rowOff>
    </xdr:to>
    <xdr:cxnSp macro="">
      <xdr:nvCxnSpPr>
        <xdr:cNvPr id="189" name="コネクタ: 曲線 188">
          <a:extLst>
            <a:ext uri="{FF2B5EF4-FFF2-40B4-BE49-F238E27FC236}">
              <a16:creationId xmlns:a16="http://schemas.microsoft.com/office/drawing/2014/main" id="{00000000-0008-0000-0700-0000BD000000}"/>
            </a:ext>
          </a:extLst>
        </xdr:cNvPr>
        <xdr:cNvCxnSpPr>
          <a:stCxn id="11" idx="1"/>
          <a:endCxn id="188" idx="0"/>
        </xdr:cNvCxnSpPr>
      </xdr:nvCxnSpPr>
      <xdr:spPr>
        <a:xfrm rot="10800000" flipV="1">
          <a:off x="3561690" y="13313833"/>
          <a:ext cx="2915310" cy="1540121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69</xdr:col>
      <xdr:colOff>0</xdr:colOff>
      <xdr:row>21</xdr:row>
      <xdr:rowOff>100788</xdr:rowOff>
    </xdr:from>
    <xdr:ext cx="1633845" cy="259045"/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00000000-0008-0000-0700-0000C0000000}"/>
            </a:ext>
          </a:extLst>
        </xdr:cNvPr>
        <xdr:cNvSpPr txBox="1"/>
      </xdr:nvSpPr>
      <xdr:spPr>
        <a:xfrm>
          <a:off x="12414250" y="3879038"/>
          <a:ext cx="1633845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CEMF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電圧＜基準値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66</xdr:col>
      <xdr:colOff>1</xdr:colOff>
      <xdr:row>19</xdr:row>
      <xdr:rowOff>0</xdr:rowOff>
    </xdr:from>
    <xdr:to>
      <xdr:col>73</xdr:col>
      <xdr:colOff>97257</xdr:colOff>
      <xdr:row>21</xdr:row>
      <xdr:rowOff>100788</xdr:rowOff>
    </xdr:to>
    <xdr:cxnSp macro="">
      <xdr:nvCxnSpPr>
        <xdr:cNvPr id="194" name="コネクタ: 曲線 193">
          <a:extLst>
            <a:ext uri="{FF2B5EF4-FFF2-40B4-BE49-F238E27FC236}">
              <a16:creationId xmlns:a16="http://schemas.microsoft.com/office/drawing/2014/main" id="{00000000-0008-0000-0700-0000C2000000}"/>
            </a:ext>
          </a:extLst>
        </xdr:cNvPr>
        <xdr:cNvCxnSpPr>
          <a:stCxn id="192" idx="0"/>
          <a:endCxn id="20" idx="3"/>
        </xdr:cNvCxnSpPr>
      </xdr:nvCxnSpPr>
      <xdr:spPr>
        <a:xfrm rot="16200000" flipV="1">
          <a:off x="12322527" y="2970391"/>
          <a:ext cx="460621" cy="1356673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</xdr:colOff>
      <xdr:row>11</xdr:row>
      <xdr:rowOff>1</xdr:rowOff>
    </xdr:from>
    <xdr:to>
      <xdr:col>65</xdr:col>
      <xdr:colOff>50044</xdr:colOff>
      <xdr:row>14</xdr:row>
      <xdr:rowOff>50396</xdr:rowOff>
    </xdr:to>
    <xdr:cxnSp macro="">
      <xdr:nvCxnSpPr>
        <xdr:cNvPr id="251" name="コネクタ: 曲線 250">
          <a:extLst>
            <a:ext uri="{FF2B5EF4-FFF2-40B4-BE49-F238E27FC236}">
              <a16:creationId xmlns:a16="http://schemas.microsoft.com/office/drawing/2014/main" id="{00000000-0008-0000-0700-0000FB000000}"/>
            </a:ext>
          </a:extLst>
        </xdr:cNvPr>
        <xdr:cNvCxnSpPr>
          <a:stCxn id="252" idx="1"/>
          <a:endCxn id="19" idx="2"/>
        </xdr:cNvCxnSpPr>
      </xdr:nvCxnSpPr>
      <xdr:spPr>
        <a:xfrm rot="10800000">
          <a:off x="8276168" y="1979084"/>
          <a:ext cx="3468459" cy="590145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65</xdr:col>
      <xdr:colOff>50043</xdr:colOff>
      <xdr:row>13</xdr:row>
      <xdr:rowOff>100788</xdr:rowOff>
    </xdr:from>
    <xdr:ext cx="1350241" cy="259045"/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00000000-0008-0000-0700-0000FC000000}"/>
            </a:ext>
          </a:extLst>
        </xdr:cNvPr>
        <xdr:cNvSpPr txBox="1"/>
      </xdr:nvSpPr>
      <xdr:spPr>
        <a:xfrm>
          <a:off x="11744626" y="2439705"/>
          <a:ext cx="1350241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PowerSW==ON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72</xdr:col>
      <xdr:colOff>140867</xdr:colOff>
      <xdr:row>14</xdr:row>
      <xdr:rowOff>50395</xdr:rowOff>
    </xdr:from>
    <xdr:to>
      <xdr:col>84</xdr:col>
      <xdr:colOff>0</xdr:colOff>
      <xdr:row>27</xdr:row>
      <xdr:rowOff>1</xdr:rowOff>
    </xdr:to>
    <xdr:cxnSp macro="">
      <xdr:nvCxnSpPr>
        <xdr:cNvPr id="253" name="コネクタ: 曲線 252">
          <a:extLst>
            <a:ext uri="{FF2B5EF4-FFF2-40B4-BE49-F238E27FC236}">
              <a16:creationId xmlns:a16="http://schemas.microsoft.com/office/drawing/2014/main" id="{00000000-0008-0000-0700-0000FD000000}"/>
            </a:ext>
          </a:extLst>
        </xdr:cNvPr>
        <xdr:cNvCxnSpPr>
          <a:cxnSpLocks/>
          <a:stCxn id="252" idx="3"/>
          <a:endCxn id="164" idx="3"/>
        </xdr:cNvCxnSpPr>
      </xdr:nvCxnSpPr>
      <xdr:spPr>
        <a:xfrm>
          <a:off x="13094867" y="2569228"/>
          <a:ext cx="2018133" cy="2288523"/>
        </a:xfrm>
        <a:prstGeom prst="curvedConnector3">
          <a:avLst>
            <a:gd name="adj1" fmla="val 111327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27</xdr:row>
      <xdr:rowOff>1</xdr:rowOff>
    </xdr:from>
    <xdr:to>
      <xdr:col>72</xdr:col>
      <xdr:colOff>0</xdr:colOff>
      <xdr:row>27</xdr:row>
      <xdr:rowOff>129523</xdr:rowOff>
    </xdr:to>
    <xdr:cxnSp macro="">
      <xdr:nvCxnSpPr>
        <xdr:cNvPr id="260" name="コネクタ: 曲線 259">
          <a:extLst>
            <a:ext uri="{FF2B5EF4-FFF2-40B4-BE49-F238E27FC236}">
              <a16:creationId xmlns:a16="http://schemas.microsoft.com/office/drawing/2014/main" id="{00000000-0008-0000-0700-000004010000}"/>
            </a:ext>
          </a:extLst>
        </xdr:cNvPr>
        <xdr:cNvCxnSpPr>
          <a:stCxn id="261" idx="3"/>
          <a:endCxn id="164" idx="1"/>
        </xdr:cNvCxnSpPr>
      </xdr:nvCxnSpPr>
      <xdr:spPr>
        <a:xfrm flipV="1">
          <a:off x="12414250" y="4857751"/>
          <a:ext cx="539750" cy="129522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57</xdr:col>
      <xdr:colOff>7129</xdr:colOff>
      <xdr:row>27</xdr:row>
      <xdr:rowOff>0</xdr:rowOff>
    </xdr:from>
    <xdr:ext cx="2151871" cy="259045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00000000-0008-0000-0700-000005010000}"/>
            </a:ext>
          </a:extLst>
        </xdr:cNvPr>
        <xdr:cNvSpPr txBox="1"/>
      </xdr:nvSpPr>
      <xdr:spPr>
        <a:xfrm>
          <a:off x="10262379" y="4857750"/>
          <a:ext cx="2151871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toggle==1 &amp;&amp; PowerSW==OFF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49</xdr:col>
      <xdr:colOff>0</xdr:colOff>
      <xdr:row>27</xdr:row>
      <xdr:rowOff>129523</xdr:rowOff>
    </xdr:from>
    <xdr:to>
      <xdr:col>57</xdr:col>
      <xdr:colOff>7129</xdr:colOff>
      <xdr:row>30</xdr:row>
      <xdr:rowOff>89959</xdr:rowOff>
    </xdr:to>
    <xdr:cxnSp macro="">
      <xdr:nvCxnSpPr>
        <xdr:cNvPr id="262" name="コネクタ: 曲線 261">
          <a:extLst>
            <a:ext uri="{FF2B5EF4-FFF2-40B4-BE49-F238E27FC236}">
              <a16:creationId xmlns:a16="http://schemas.microsoft.com/office/drawing/2014/main" id="{00000000-0008-0000-0700-000006010000}"/>
            </a:ext>
          </a:extLst>
        </xdr:cNvPr>
        <xdr:cNvCxnSpPr>
          <a:cxnSpLocks/>
          <a:stCxn id="101" idx="3"/>
          <a:endCxn id="261" idx="1"/>
        </xdr:cNvCxnSpPr>
      </xdr:nvCxnSpPr>
      <xdr:spPr>
        <a:xfrm flipV="1">
          <a:off x="8815917" y="4987273"/>
          <a:ext cx="1446462" cy="500186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101</xdr:row>
      <xdr:rowOff>0</xdr:rowOff>
    </xdr:from>
    <xdr:to>
      <xdr:col>72</xdr:col>
      <xdr:colOff>0</xdr:colOff>
      <xdr:row>105</xdr:row>
      <xdr:rowOff>0</xdr:rowOff>
    </xdr:to>
    <xdr:sp macro="" textlink="">
      <xdr:nvSpPr>
        <xdr:cNvPr id="117" name="四角形: 角を丸くする 116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10795000" y="15472833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CEMF</a:t>
          </a:r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電圧変換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CEMF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電圧変換</a:t>
          </a:r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, count--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84</xdr:col>
      <xdr:colOff>0</xdr:colOff>
      <xdr:row>89</xdr:row>
      <xdr:rowOff>1</xdr:rowOff>
    </xdr:from>
    <xdr:to>
      <xdr:col>88</xdr:col>
      <xdr:colOff>128171</xdr:colOff>
      <xdr:row>93</xdr:row>
      <xdr:rowOff>0</xdr:rowOff>
    </xdr:to>
    <xdr:cxnSp macro="">
      <xdr:nvCxnSpPr>
        <xdr:cNvPr id="118" name="コネクタ: 曲線 117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CxnSpPr>
          <a:cxnSpLocks/>
          <a:stCxn id="127" idx="0"/>
          <a:endCxn id="12" idx="3"/>
        </xdr:cNvCxnSpPr>
      </xdr:nvCxnSpPr>
      <xdr:spPr>
        <a:xfrm rot="16200000" flipV="1">
          <a:off x="15177086" y="13249748"/>
          <a:ext cx="719666" cy="847838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94</xdr:row>
      <xdr:rowOff>79128</xdr:rowOff>
    </xdr:from>
    <xdr:to>
      <xdr:col>88</xdr:col>
      <xdr:colOff>128171</xdr:colOff>
      <xdr:row>103</xdr:row>
      <xdr:rowOff>0</xdr:rowOff>
    </xdr:to>
    <xdr:cxnSp macro="">
      <xdr:nvCxnSpPr>
        <xdr:cNvPr id="120" name="コネクタ: 曲線 119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CxnSpPr>
          <a:cxnSpLocks/>
          <a:stCxn id="117" idx="3"/>
          <a:endCxn id="127" idx="2"/>
        </xdr:cNvCxnSpPr>
      </xdr:nvCxnSpPr>
      <xdr:spPr>
        <a:xfrm flipV="1">
          <a:off x="12954000" y="14292545"/>
          <a:ext cx="3006838" cy="1540122"/>
        </a:xfrm>
        <a:prstGeom prst="curvedConnector2">
          <a:avLst/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</xdr:colOff>
      <xdr:row>98</xdr:row>
      <xdr:rowOff>50394</xdr:rowOff>
    </xdr:from>
    <xdr:to>
      <xdr:col>68</xdr:col>
      <xdr:colOff>86199</xdr:colOff>
      <xdr:row>100</xdr:row>
      <xdr:rowOff>179915</xdr:rowOff>
    </xdr:to>
    <xdr:cxnSp macro="">
      <xdr:nvCxnSpPr>
        <xdr:cNvPr id="133" name="コネクタ: 曲線 132">
          <a:extLst>
            <a:ext uri="{FF2B5EF4-FFF2-40B4-BE49-F238E27FC236}">
              <a16:creationId xmlns:a16="http://schemas.microsoft.com/office/drawing/2014/main" id="{00000000-0008-0000-0700-000085000000}"/>
            </a:ext>
          </a:extLst>
        </xdr:cNvPr>
        <xdr:cNvCxnSpPr>
          <a:stCxn id="134" idx="1"/>
          <a:endCxn id="117" idx="0"/>
        </xdr:cNvCxnSpPr>
      </xdr:nvCxnSpPr>
      <xdr:spPr>
        <a:xfrm rot="10800000" flipV="1">
          <a:off x="11874501" y="14983477"/>
          <a:ext cx="446031" cy="489355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68</xdr:col>
      <xdr:colOff>86198</xdr:colOff>
      <xdr:row>97</xdr:row>
      <xdr:rowOff>100788</xdr:rowOff>
    </xdr:from>
    <xdr:ext cx="1712969" cy="259045"/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SpPr txBox="1"/>
      </xdr:nvSpPr>
      <xdr:spPr>
        <a:xfrm>
          <a:off x="12320531" y="14853955"/>
          <a:ext cx="1712969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変換完了 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[count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≠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0] 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72</xdr:col>
      <xdr:colOff>0</xdr:colOff>
      <xdr:row>98</xdr:row>
      <xdr:rowOff>50395</xdr:rowOff>
    </xdr:from>
    <xdr:to>
      <xdr:col>78</xdr:col>
      <xdr:colOff>0</xdr:colOff>
      <xdr:row>103</xdr:row>
      <xdr:rowOff>0</xdr:rowOff>
    </xdr:to>
    <xdr:cxnSp macro="">
      <xdr:nvCxnSpPr>
        <xdr:cNvPr id="135" name="コネクタ: 曲線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CxnSpPr>
          <a:stCxn id="117" idx="3"/>
          <a:endCxn id="134" idx="3"/>
        </xdr:cNvCxnSpPr>
      </xdr:nvCxnSpPr>
      <xdr:spPr>
        <a:xfrm flipV="1">
          <a:off x="12954000" y="14983478"/>
          <a:ext cx="1079500" cy="849189"/>
        </a:xfrm>
        <a:prstGeom prst="curvedConnector3">
          <a:avLst>
            <a:gd name="adj1" fmla="val 121176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91</xdr:row>
      <xdr:rowOff>0</xdr:rowOff>
    </xdr:from>
    <xdr:to>
      <xdr:col>42</xdr:col>
      <xdr:colOff>0</xdr:colOff>
      <xdr:row>93</xdr:row>
      <xdr:rowOff>129523</xdr:rowOff>
    </xdr:to>
    <xdr:cxnSp macro="">
      <xdr:nvCxnSpPr>
        <xdr:cNvPr id="136" name="コネクタ: 曲線 135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CxnSpPr>
          <a:stCxn id="137" idx="3"/>
          <a:endCxn id="11" idx="2"/>
        </xdr:cNvCxnSpPr>
      </xdr:nvCxnSpPr>
      <xdr:spPr>
        <a:xfrm flipV="1">
          <a:off x="7016750" y="13673667"/>
          <a:ext cx="539750" cy="489356"/>
        </a:xfrm>
        <a:prstGeom prst="curved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47149</xdr:colOff>
      <xdr:row>93</xdr:row>
      <xdr:rowOff>0</xdr:rowOff>
    </xdr:from>
    <xdr:ext cx="1752018" cy="259045"/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 txBox="1"/>
      </xdr:nvSpPr>
      <xdr:spPr>
        <a:xfrm>
          <a:off x="5264732" y="14033500"/>
          <a:ext cx="1752018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変換完了 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[count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≠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0]   / 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なし</a:t>
          </a:r>
        </a:p>
      </xdr:txBody>
    </xdr:sp>
    <xdr:clientData/>
  </xdr:oneCellAnchor>
  <xdr:twoCellAnchor>
    <xdr:from>
      <xdr:col>29</xdr:col>
      <xdr:colOff>47149</xdr:colOff>
      <xdr:row>89</xdr:row>
      <xdr:rowOff>0</xdr:rowOff>
    </xdr:from>
    <xdr:to>
      <xdr:col>36</xdr:col>
      <xdr:colOff>0</xdr:colOff>
      <xdr:row>93</xdr:row>
      <xdr:rowOff>129522</xdr:rowOff>
    </xdr:to>
    <xdr:cxnSp macro="">
      <xdr:nvCxnSpPr>
        <xdr:cNvPr id="138" name="コネクタ: 曲線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CxnSpPr>
          <a:stCxn id="11" idx="1"/>
          <a:endCxn id="137" idx="1"/>
        </xdr:cNvCxnSpPr>
      </xdr:nvCxnSpPr>
      <xdr:spPr>
        <a:xfrm rot="10800000" flipV="1">
          <a:off x="5264732" y="13313833"/>
          <a:ext cx="1212268" cy="849189"/>
        </a:xfrm>
        <a:prstGeom prst="curvedConnector3">
          <a:avLst>
            <a:gd name="adj1" fmla="val 118857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101</xdr:row>
      <xdr:rowOff>0</xdr:rowOff>
    </xdr:from>
    <xdr:to>
      <xdr:col>36</xdr:col>
      <xdr:colOff>0</xdr:colOff>
      <xdr:row>105</xdr:row>
      <xdr:rowOff>0</xdr:rowOff>
    </xdr:to>
    <xdr:sp macro="" textlink="">
      <xdr:nvSpPr>
        <xdr:cNvPr id="170" name="四角形: 角を丸くする 169">
          <a:extLst>
            <a:ext uri="{FF2B5EF4-FFF2-40B4-BE49-F238E27FC236}">
              <a16:creationId xmlns:a16="http://schemas.microsoft.com/office/drawing/2014/main" id="{00000000-0008-0000-0700-0000AA000000}"/>
            </a:ext>
          </a:extLst>
        </xdr:cNvPr>
        <xdr:cNvSpPr/>
      </xdr:nvSpPr>
      <xdr:spPr>
        <a:xfrm>
          <a:off x="4318000" y="15472833"/>
          <a:ext cx="2159000" cy="719667"/>
        </a:xfrm>
        <a:prstGeom prst="roundRect">
          <a:avLst>
            <a:gd name="adj" fmla="val 25893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CEMF</a:t>
          </a:r>
          <a:r>
            <a:rPr kumimoji="1" lang="ja-JP" altLang="en-US" sz="1000" u="sng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電圧検出</a:t>
          </a:r>
          <a:endParaRPr kumimoji="1" lang="en-US" altLang="ja-JP" sz="1000" u="sng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Entry: </a:t>
          </a: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Do:  CEMF</a:t>
          </a:r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電圧検出</a:t>
          </a:r>
          <a:endParaRPr kumimoji="1" lang="en-US" altLang="ja-JP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kumimoji="1" lang="en-US" altLang="ja-JP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Exit: </a:t>
          </a:r>
          <a:endParaRPr kumimoji="1" lang="ja-JP" altLang="en-US" sz="1000">
            <a:ln>
              <a:noFill/>
            </a:ln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52</xdr:col>
      <xdr:colOff>172783</xdr:colOff>
      <xdr:row>103</xdr:row>
      <xdr:rowOff>0</xdr:rowOff>
    </xdr:from>
    <xdr:to>
      <xdr:col>60</xdr:col>
      <xdr:colOff>0</xdr:colOff>
      <xdr:row>103</xdr:row>
      <xdr:rowOff>50394</xdr:rowOff>
    </xdr:to>
    <xdr:cxnSp macro="">
      <xdr:nvCxnSpPr>
        <xdr:cNvPr id="171" name="コネクタ: 曲線 170">
          <a:extLst>
            <a:ext uri="{FF2B5EF4-FFF2-40B4-BE49-F238E27FC236}">
              <a16:creationId xmlns:a16="http://schemas.microsoft.com/office/drawing/2014/main" id="{00000000-0008-0000-0700-0000AB000000}"/>
            </a:ext>
          </a:extLst>
        </xdr:cNvPr>
        <xdr:cNvCxnSpPr>
          <a:cxnSpLocks/>
          <a:stCxn id="130" idx="3"/>
          <a:endCxn id="117" idx="1"/>
        </xdr:cNvCxnSpPr>
      </xdr:nvCxnSpPr>
      <xdr:spPr>
        <a:xfrm flipV="1">
          <a:off x="9528450" y="15832667"/>
          <a:ext cx="1266550" cy="50394"/>
        </a:xfrm>
        <a:prstGeom prst="curvedConnector3">
          <a:avLst>
            <a:gd name="adj1" fmla="val 50000"/>
          </a:avLst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103</xdr:row>
      <xdr:rowOff>0</xdr:rowOff>
    </xdr:from>
    <xdr:to>
      <xdr:col>42</xdr:col>
      <xdr:colOff>0</xdr:colOff>
      <xdr:row>103</xdr:row>
      <xdr:rowOff>50394</xdr:rowOff>
    </xdr:to>
    <xdr:cxnSp macro="">
      <xdr:nvCxnSpPr>
        <xdr:cNvPr id="191" name="コネクタ: 曲線 190">
          <a:extLst>
            <a:ext uri="{FF2B5EF4-FFF2-40B4-BE49-F238E27FC236}">
              <a16:creationId xmlns:a16="http://schemas.microsoft.com/office/drawing/2014/main" id="{00000000-0008-0000-0700-0000BF000000}"/>
            </a:ext>
          </a:extLst>
        </xdr:cNvPr>
        <xdr:cNvCxnSpPr>
          <a:cxnSpLocks/>
          <a:stCxn id="130" idx="1"/>
          <a:endCxn id="170" idx="3"/>
        </xdr:cNvCxnSpPr>
      </xdr:nvCxnSpPr>
      <xdr:spPr>
        <a:xfrm rot="10800000">
          <a:off x="6477000" y="15832667"/>
          <a:ext cx="1079500" cy="50394"/>
        </a:xfrm>
        <a:prstGeom prst="curvedConnector3">
          <a:avLst>
            <a:gd name="adj1" fmla="val 50000"/>
          </a:avLst>
        </a:prstGeom>
        <a:ln w="9525">
          <a:headEnd type="none" w="med" len="med"/>
          <a:tailEnd type="none" w="med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82</xdr:col>
      <xdr:colOff>0</xdr:colOff>
      <xdr:row>93</xdr:row>
      <xdr:rowOff>0</xdr:rowOff>
    </xdr:from>
    <xdr:ext cx="2415341" cy="259045"/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SpPr txBox="1"/>
      </xdr:nvSpPr>
      <xdr:spPr>
        <a:xfrm>
          <a:off x="14753167" y="14033500"/>
          <a:ext cx="2415341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変換完了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[count==0] / LED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電流変換設定</a:t>
          </a:r>
        </a:p>
      </xdr:txBody>
    </xdr:sp>
    <xdr:clientData/>
  </xdr:oneCellAnchor>
  <xdr:oneCellAnchor>
    <xdr:from>
      <xdr:col>42</xdr:col>
      <xdr:colOff>0</xdr:colOff>
      <xdr:row>102</xdr:row>
      <xdr:rowOff>100788</xdr:rowOff>
    </xdr:from>
    <xdr:ext cx="1971950" cy="259045"/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SpPr txBox="1"/>
      </xdr:nvSpPr>
      <xdr:spPr>
        <a:xfrm>
          <a:off x="7556500" y="15753538"/>
          <a:ext cx="1971950" cy="259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検出完了</a:t>
          </a:r>
          <a:r>
            <a:rPr kumimoji="1" lang="en-US" altLang="ja-JP" sz="1000">
              <a:solidFill>
                <a:schemeClr val="dk1"/>
              </a:solidFill>
              <a:latin typeface="+mn-ea"/>
              <a:ea typeface="+mn-ea"/>
            </a:rPr>
            <a:t>  / CEMF</a:t>
          </a:r>
          <a:r>
            <a:rPr kumimoji="1" lang="ja-JP" altLang="en-US" sz="1000">
              <a:solidFill>
                <a:schemeClr val="dk1"/>
              </a:solidFill>
              <a:latin typeface="+mn-ea"/>
              <a:ea typeface="+mn-ea"/>
            </a:rPr>
            <a:t>電圧変換設定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92</xdr:row>
      <xdr:rowOff>0</xdr:rowOff>
    </xdr:from>
    <xdr:to>
      <xdr:col>24</xdr:col>
      <xdr:colOff>0</xdr:colOff>
      <xdr:row>95</xdr:row>
      <xdr:rowOff>0</xdr:rowOff>
    </xdr:to>
    <xdr:sp macro="" textlink="">
      <xdr:nvSpPr>
        <xdr:cNvPr id="2" name="フローチャート: 定義済み処理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133600" y="12979400"/>
          <a:ext cx="2133600" cy="533400"/>
        </a:xfrm>
        <a:prstGeom prst="flowChartPredefinedProcess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>
              <a:solidFill>
                <a:schemeClr val="tx1"/>
              </a:solidFill>
              <a:latin typeface="+mn-ea"/>
              <a:ea typeface="+mn-ea"/>
            </a:rPr>
            <a:t>FVR</a:t>
          </a:r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変換</a:t>
          </a:r>
          <a:endParaRPr kumimoji="1" lang="en-US" altLang="ja-JP" sz="10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0</xdr:colOff>
      <xdr:row>71</xdr:row>
      <xdr:rowOff>0</xdr:rowOff>
    </xdr:from>
    <xdr:to>
      <xdr:col>24</xdr:col>
      <xdr:colOff>0</xdr:colOff>
      <xdr:row>73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2133600" y="9245600"/>
          <a:ext cx="2133600" cy="355600"/>
        </a:xfrm>
        <a:prstGeom prst="roundRect">
          <a:avLst>
            <a:gd name="adj" fmla="val 50000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割り込み開始</a:t>
          </a:r>
        </a:p>
      </xdr:txBody>
    </xdr:sp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0</xdr:colOff>
      <xdr:row>84</xdr:row>
      <xdr:rowOff>0</xdr:rowOff>
    </xdr:to>
    <xdr:sp macro="" textlink="">
      <xdr:nvSpPr>
        <xdr:cNvPr id="4" name="フローチャート: 判断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133600" y="13157200"/>
          <a:ext cx="2133600" cy="711200"/>
        </a:xfrm>
        <a:prstGeom prst="flowChartDecision">
          <a:avLst/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>
              <a:solidFill>
                <a:schemeClr val="tx1"/>
              </a:solidFill>
              <a:latin typeface="+mn-ea"/>
              <a:ea typeface="+mn-ea"/>
            </a:rPr>
            <a:t>SW</a:t>
          </a:r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分析</a:t>
          </a:r>
        </a:p>
      </xdr:txBody>
    </xdr:sp>
    <xdr:clientData/>
  </xdr:twoCellAnchor>
  <xdr:twoCellAnchor>
    <xdr:from>
      <xdr:col>12</xdr:col>
      <xdr:colOff>0</xdr:colOff>
      <xdr:row>119</xdr:row>
      <xdr:rowOff>0</xdr:rowOff>
    </xdr:from>
    <xdr:to>
      <xdr:col>24</xdr:col>
      <xdr:colOff>0</xdr:colOff>
      <xdr:row>121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133600" y="20091400"/>
          <a:ext cx="2133600" cy="355600"/>
        </a:xfrm>
        <a:prstGeom prst="roundRect">
          <a:avLst>
            <a:gd name="adj" fmla="val 50000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割り込み完了</a:t>
          </a:r>
        </a:p>
      </xdr:txBody>
    </xdr:sp>
    <xdr:clientData/>
  </xdr:twoCellAnchor>
  <xdr:twoCellAnchor>
    <xdr:from>
      <xdr:col>24</xdr:col>
      <xdr:colOff>0</xdr:colOff>
      <xdr:row>82</xdr:row>
      <xdr:rowOff>0</xdr:rowOff>
    </xdr:from>
    <xdr:to>
      <xdr:col>73</xdr:col>
      <xdr:colOff>0</xdr:colOff>
      <xdr:row>107</xdr:row>
      <xdr:rowOff>0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>
          <a:stCxn id="4" idx="3"/>
          <a:endCxn id="13" idx="0"/>
        </xdr:cNvCxnSpPr>
      </xdr:nvCxnSpPr>
      <xdr:spPr>
        <a:xfrm>
          <a:off x="4267200" y="13512800"/>
          <a:ext cx="8712200" cy="44450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34</xdr:row>
      <xdr:rowOff>0</xdr:rowOff>
    </xdr:from>
    <xdr:to>
      <xdr:col>51</xdr:col>
      <xdr:colOff>0</xdr:colOff>
      <xdr:row>36</xdr:row>
      <xdr:rowOff>0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>
          <a:stCxn id="162" idx="3"/>
          <a:endCxn id="18" idx="0"/>
        </xdr:cNvCxnSpPr>
      </xdr:nvCxnSpPr>
      <xdr:spPr>
        <a:xfrm>
          <a:off x="8356600" y="4978400"/>
          <a:ext cx="711200" cy="3556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73</xdr:row>
      <xdr:rowOff>0</xdr:rowOff>
    </xdr:from>
    <xdr:to>
      <xdr:col>18</xdr:col>
      <xdr:colOff>0</xdr:colOff>
      <xdr:row>75</xdr:row>
      <xdr:rowOff>6350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>
          <a:stCxn id="3" idx="2"/>
          <a:endCxn id="95" idx="0"/>
        </xdr:cNvCxnSpPr>
      </xdr:nvCxnSpPr>
      <xdr:spPr>
        <a:xfrm flipH="1">
          <a:off x="3194050" y="9601200"/>
          <a:ext cx="6350" cy="36195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78</xdr:row>
      <xdr:rowOff>6350</xdr:rowOff>
    </xdr:from>
    <xdr:to>
      <xdr:col>18</xdr:col>
      <xdr:colOff>0</xdr:colOff>
      <xdr:row>80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>
          <a:stCxn id="95" idx="2"/>
          <a:endCxn id="4" idx="0"/>
        </xdr:cNvCxnSpPr>
      </xdr:nvCxnSpPr>
      <xdr:spPr>
        <a:xfrm>
          <a:off x="3194050" y="12807950"/>
          <a:ext cx="6350" cy="34925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113</xdr:row>
      <xdr:rowOff>0</xdr:rowOff>
    </xdr:from>
    <xdr:to>
      <xdr:col>24</xdr:col>
      <xdr:colOff>0</xdr:colOff>
      <xdr:row>116</xdr:row>
      <xdr:rowOff>0</xdr:rowOff>
    </xdr:to>
    <xdr:sp macro="" textlink="">
      <xdr:nvSpPr>
        <xdr:cNvPr id="14" name="フローチャート: 定義済み処理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2133600" y="19024600"/>
          <a:ext cx="2133600" cy="533400"/>
        </a:xfrm>
        <a:prstGeom prst="flowChartPredefinedProcess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>
              <a:solidFill>
                <a:schemeClr val="tx1"/>
              </a:solidFill>
              <a:latin typeface="+mn-ea"/>
              <a:ea typeface="+mn-ea"/>
            </a:rPr>
            <a:t>LED</a:t>
          </a:r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定輝度駆動</a:t>
          </a:r>
          <a:endParaRPr kumimoji="1" lang="en-US" altLang="ja-JP" sz="10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67</xdr:col>
      <xdr:colOff>0</xdr:colOff>
      <xdr:row>107</xdr:row>
      <xdr:rowOff>0</xdr:rowOff>
    </xdr:from>
    <xdr:to>
      <xdr:col>79</xdr:col>
      <xdr:colOff>0</xdr:colOff>
      <xdr:row>109</xdr:row>
      <xdr:rowOff>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11912600" y="17957800"/>
          <a:ext cx="2133600" cy="355600"/>
        </a:xfrm>
        <a:prstGeom prst="roundRect">
          <a:avLst>
            <a:gd name="adj" fmla="val 50000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ソフトウェアリセット実施</a:t>
          </a: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24</xdr:col>
      <xdr:colOff>0</xdr:colOff>
      <xdr:row>4</xdr:row>
      <xdr:rowOff>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133600" y="355600"/>
          <a:ext cx="2133600" cy="355600"/>
        </a:xfrm>
        <a:prstGeom prst="roundRect">
          <a:avLst>
            <a:gd name="adj" fmla="val 50000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リセットによる開始</a:t>
          </a:r>
        </a:p>
      </xdr:txBody>
    </xdr:sp>
    <xdr:clientData/>
  </xdr:twoCellAnchor>
  <xdr:twoCellAnchor>
    <xdr:from>
      <xdr:col>45</xdr:col>
      <xdr:colOff>0</xdr:colOff>
      <xdr:row>65</xdr:row>
      <xdr:rowOff>0</xdr:rowOff>
    </xdr:from>
    <xdr:to>
      <xdr:col>57</xdr:col>
      <xdr:colOff>0</xdr:colOff>
      <xdr:row>67</xdr:row>
      <xdr:rowOff>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8001000" y="10490200"/>
          <a:ext cx="2133600" cy="355600"/>
        </a:xfrm>
        <a:prstGeom prst="roundRect">
          <a:avLst>
            <a:gd name="adj" fmla="val 50000"/>
          </a:avLst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ln>
                <a:noFill/>
              </a:ln>
              <a:solidFill>
                <a:schemeClr val="tx1"/>
              </a:solidFill>
              <a:latin typeface="+mn-ea"/>
              <a:ea typeface="+mn-ea"/>
            </a:rPr>
            <a:t>ソフトウェアリセット実施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24</xdr:col>
      <xdr:colOff>0</xdr:colOff>
      <xdr:row>9</xdr:row>
      <xdr:rowOff>0</xdr:rowOff>
    </xdr:to>
    <xdr:sp macro="" textlink="">
      <xdr:nvSpPr>
        <xdr:cNvPr id="7" name="フローチャート: 処理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2133600" y="10668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ja-JP" altLang="en-US" sz="1000" b="0"/>
            <a:t>リセット要因取得</a:t>
          </a:r>
        </a:p>
      </xdr:txBody>
    </xdr:sp>
    <xdr:clientData/>
  </xdr:twoCellAnchor>
  <xdr:twoCellAnchor>
    <xdr:from>
      <xdr:col>45</xdr:col>
      <xdr:colOff>0</xdr:colOff>
      <xdr:row>36</xdr:row>
      <xdr:rowOff>0</xdr:rowOff>
    </xdr:from>
    <xdr:to>
      <xdr:col>57</xdr:col>
      <xdr:colOff>0</xdr:colOff>
      <xdr:row>39</xdr:row>
      <xdr:rowOff>0</xdr:rowOff>
    </xdr:to>
    <xdr:sp macro="" textlink="">
      <xdr:nvSpPr>
        <xdr:cNvPr id="18" name="フローチャート: 処理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8001000" y="53340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en-US" altLang="ja-JP" sz="1000" b="0"/>
            <a:t>sleep(</a:t>
          </a:r>
          <a:r>
            <a:rPr kumimoji="1" lang="ja-JP" altLang="en-US" sz="1000" b="0"/>
            <a:t>割り込み待ち</a:t>
          </a:r>
          <a:r>
            <a:rPr kumimoji="1" lang="en-US" altLang="ja-JP" sz="1000" b="0"/>
            <a:t>)</a:t>
          </a:r>
          <a:endParaRPr kumimoji="1" lang="ja-JP" altLang="en-US" sz="1000" b="0"/>
        </a:p>
      </xdr:txBody>
    </xdr:sp>
    <xdr:clientData/>
  </xdr:twoCellAnchor>
  <xdr:twoCellAnchor>
    <xdr:from>
      <xdr:col>18</xdr:col>
      <xdr:colOff>0</xdr:colOff>
      <xdr:row>84</xdr:row>
      <xdr:rowOff>0</xdr:rowOff>
    </xdr:from>
    <xdr:to>
      <xdr:col>18</xdr:col>
      <xdr:colOff>0</xdr:colOff>
      <xdr:row>92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>
          <a:stCxn id="4" idx="2"/>
          <a:endCxn id="2" idx="0"/>
        </xdr:cNvCxnSpPr>
      </xdr:nvCxnSpPr>
      <xdr:spPr>
        <a:xfrm>
          <a:off x="3200400" y="13868400"/>
          <a:ext cx="0" cy="14224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11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CxnSpPr>
          <a:stCxn id="7" idx="2"/>
          <a:endCxn id="23" idx="0"/>
        </xdr:cNvCxnSpPr>
      </xdr:nvCxnSpPr>
      <xdr:spPr>
        <a:xfrm>
          <a:off x="3200400" y="1600200"/>
          <a:ext cx="0" cy="3556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0</xdr:rowOff>
    </xdr:from>
    <xdr:to>
      <xdr:col>18</xdr:col>
      <xdr:colOff>0</xdr:colOff>
      <xdr:row>6</xdr:row>
      <xdr:rowOff>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>
          <a:stCxn id="15" idx="2"/>
          <a:endCxn id="7" idx="0"/>
        </xdr:cNvCxnSpPr>
      </xdr:nvCxnSpPr>
      <xdr:spPr>
        <a:xfrm>
          <a:off x="3200400" y="711200"/>
          <a:ext cx="0" cy="3556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0</xdr:rowOff>
    </xdr:from>
    <xdr:to>
      <xdr:col>24</xdr:col>
      <xdr:colOff>0</xdr:colOff>
      <xdr:row>15</xdr:row>
      <xdr:rowOff>0</xdr:rowOff>
    </xdr:to>
    <xdr:sp macro="" textlink="">
      <xdr:nvSpPr>
        <xdr:cNvPr id="23" name="フローチャート: 判断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2133600" y="1955800"/>
          <a:ext cx="2133600" cy="711200"/>
        </a:xfrm>
        <a:prstGeom prst="flowChartDecision">
          <a:avLst/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リセット要因分析</a:t>
          </a:r>
        </a:p>
      </xdr:txBody>
    </xdr:sp>
    <xdr:clientData/>
  </xdr:twoCellAnchor>
  <xdr:twoCellAnchor>
    <xdr:from>
      <xdr:col>24</xdr:col>
      <xdr:colOff>0</xdr:colOff>
      <xdr:row>50</xdr:row>
      <xdr:rowOff>0</xdr:rowOff>
    </xdr:from>
    <xdr:to>
      <xdr:col>51</xdr:col>
      <xdr:colOff>0</xdr:colOff>
      <xdr:row>53</xdr:row>
      <xdr:rowOff>0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CxnSpPr>
          <a:stCxn id="65" idx="3"/>
          <a:endCxn id="124" idx="0"/>
        </xdr:cNvCxnSpPr>
      </xdr:nvCxnSpPr>
      <xdr:spPr>
        <a:xfrm>
          <a:off x="4267200" y="7823200"/>
          <a:ext cx="4800600" cy="5334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13</xdr:row>
      <xdr:rowOff>0</xdr:rowOff>
    </xdr:from>
    <xdr:to>
      <xdr:col>51</xdr:col>
      <xdr:colOff>0</xdr:colOff>
      <xdr:row>18</xdr:row>
      <xdr:rowOff>0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>
          <a:stCxn id="23" idx="3"/>
          <a:endCxn id="29" idx="0"/>
        </xdr:cNvCxnSpPr>
      </xdr:nvCxnSpPr>
      <xdr:spPr>
        <a:xfrm>
          <a:off x="4267200" y="2311400"/>
          <a:ext cx="4800600" cy="8890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18</xdr:row>
      <xdr:rowOff>0</xdr:rowOff>
    </xdr:from>
    <xdr:to>
      <xdr:col>57</xdr:col>
      <xdr:colOff>0</xdr:colOff>
      <xdr:row>21</xdr:row>
      <xdr:rowOff>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8001000" y="32004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en-US" altLang="ja-JP" sz="1000" b="0"/>
            <a:t>Active</a:t>
          </a:r>
          <a:r>
            <a:rPr kumimoji="1" lang="ja-JP" altLang="en-US" sz="1000" b="0"/>
            <a:t>時初期設定</a:t>
          </a:r>
        </a:p>
      </xdr:txBody>
    </xdr:sp>
    <xdr:clientData/>
  </xdr:twoCellAnchor>
  <xdr:twoCellAnchor>
    <xdr:from>
      <xdr:col>18</xdr:col>
      <xdr:colOff>0</xdr:colOff>
      <xdr:row>90</xdr:row>
      <xdr:rowOff>0</xdr:rowOff>
    </xdr:from>
    <xdr:to>
      <xdr:col>27</xdr:col>
      <xdr:colOff>0</xdr:colOff>
      <xdr:row>92</xdr:row>
      <xdr:rowOff>0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CxnSpPr>
          <a:stCxn id="37" idx="1"/>
          <a:endCxn id="2" idx="0"/>
        </xdr:cNvCxnSpPr>
      </xdr:nvCxnSpPr>
      <xdr:spPr>
        <a:xfrm rot="10800000" flipV="1">
          <a:off x="3200400" y="12623800"/>
          <a:ext cx="1600200" cy="3556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39</xdr:row>
      <xdr:rowOff>0</xdr:rowOff>
    </xdr:from>
    <xdr:to>
      <xdr:col>51</xdr:col>
      <xdr:colOff>0</xdr:colOff>
      <xdr:row>41</xdr:row>
      <xdr:rowOff>0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CxnSpPr>
          <a:stCxn id="18" idx="2"/>
          <a:endCxn id="164" idx="3"/>
        </xdr:cNvCxnSpPr>
      </xdr:nvCxnSpPr>
      <xdr:spPr>
        <a:xfrm rot="5400000">
          <a:off x="8534400" y="5689600"/>
          <a:ext cx="355600" cy="7112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0</xdr:colOff>
      <xdr:row>44</xdr:row>
      <xdr:rowOff>0</xdr:rowOff>
    </xdr:to>
    <xdr:sp macro="" textlink="">
      <xdr:nvSpPr>
        <xdr:cNvPr id="34" name="フローチャート: 処理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1244600" y="55118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8</xdr:col>
      <xdr:colOff>0</xdr:colOff>
      <xdr:row>42</xdr:row>
      <xdr:rowOff>0</xdr:rowOff>
    </xdr:from>
    <xdr:to>
      <xdr:col>8</xdr:col>
      <xdr:colOff>0</xdr:colOff>
      <xdr:row>44</xdr:row>
      <xdr:rowOff>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CxnSpPr>
          <a:stCxn id="34" idx="0"/>
          <a:endCxn id="34" idx="2"/>
        </xdr:cNvCxnSpPr>
      </xdr:nvCxnSpPr>
      <xdr:spPr>
        <a:xfrm>
          <a:off x="1422400" y="5511800"/>
          <a:ext cx="0" cy="35560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89</xdr:row>
      <xdr:rowOff>0</xdr:rowOff>
    </xdr:from>
    <xdr:to>
      <xdr:col>29</xdr:col>
      <xdr:colOff>0</xdr:colOff>
      <xdr:row>91</xdr:row>
      <xdr:rowOff>0</xdr:rowOff>
    </xdr:to>
    <xdr:sp macro="" textlink="">
      <xdr:nvSpPr>
        <xdr:cNvPr id="37" name="フローチャート: 処理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4800600" y="124460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27</xdr:col>
      <xdr:colOff>0</xdr:colOff>
      <xdr:row>90</xdr:row>
      <xdr:rowOff>0</xdr:rowOff>
    </xdr:from>
    <xdr:to>
      <xdr:col>29</xdr:col>
      <xdr:colOff>0</xdr:colOff>
      <xdr:row>90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CxnSpPr>
          <a:stCxn id="37" idx="1"/>
          <a:endCxn id="37" idx="3"/>
        </xdr:cNvCxnSpPr>
      </xdr:nvCxnSpPr>
      <xdr:spPr>
        <a:xfrm>
          <a:off x="4800600" y="12623800"/>
          <a:ext cx="355600" cy="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0</xdr:colOff>
      <xdr:row>58</xdr:row>
      <xdr:rowOff>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CxnSpPr>
          <a:stCxn id="65" idx="2"/>
          <a:endCxn id="64" idx="0"/>
        </xdr:cNvCxnSpPr>
      </xdr:nvCxnSpPr>
      <xdr:spPr>
        <a:xfrm>
          <a:off x="3200400" y="8178800"/>
          <a:ext cx="0" cy="10668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21</xdr:row>
      <xdr:rowOff>0</xdr:rowOff>
    </xdr:from>
    <xdr:to>
      <xdr:col>51</xdr:col>
      <xdr:colOff>0</xdr:colOff>
      <xdr:row>36</xdr:row>
      <xdr:rowOff>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CxnSpPr>
          <a:stCxn id="29" idx="2"/>
          <a:endCxn id="18" idx="0"/>
        </xdr:cNvCxnSpPr>
      </xdr:nvCxnSpPr>
      <xdr:spPr>
        <a:xfrm>
          <a:off x="9067800" y="3733800"/>
          <a:ext cx="0" cy="16002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36</xdr:row>
      <xdr:rowOff>6350</xdr:rowOff>
    </xdr:from>
    <xdr:to>
      <xdr:col>41</xdr:col>
      <xdr:colOff>0</xdr:colOff>
      <xdr:row>39</xdr:row>
      <xdr:rowOff>6350</xdr:rowOff>
    </xdr:to>
    <xdr:sp macro="" textlink="">
      <xdr:nvSpPr>
        <xdr:cNvPr id="48" name="フローチャート: 処理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6934200" y="5340350"/>
          <a:ext cx="355600" cy="5334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40</xdr:col>
      <xdr:colOff>0</xdr:colOff>
      <xdr:row>36</xdr:row>
      <xdr:rowOff>6350</xdr:rowOff>
    </xdr:from>
    <xdr:to>
      <xdr:col>40</xdr:col>
      <xdr:colOff>0</xdr:colOff>
      <xdr:row>39</xdr:row>
      <xdr:rowOff>6350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CxnSpPr>
          <a:stCxn id="48" idx="0"/>
          <a:endCxn id="48" idx="2"/>
        </xdr:cNvCxnSpPr>
      </xdr:nvCxnSpPr>
      <xdr:spPr>
        <a:xfrm>
          <a:off x="7112000" y="5340350"/>
          <a:ext cx="0" cy="53340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0</xdr:colOff>
      <xdr:row>99</xdr:row>
      <xdr:rowOff>0</xdr:rowOff>
    </xdr:from>
    <xdr:to>
      <xdr:col>59</xdr:col>
      <xdr:colOff>0</xdr:colOff>
      <xdr:row>101</xdr:row>
      <xdr:rowOff>0</xdr:rowOff>
    </xdr:to>
    <xdr:sp macro="" textlink="">
      <xdr:nvSpPr>
        <xdr:cNvPr id="50" name="フローチャート: 処理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10134600" y="165354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58</xdr:col>
      <xdr:colOff>0</xdr:colOff>
      <xdr:row>99</xdr:row>
      <xdr:rowOff>0</xdr:rowOff>
    </xdr:from>
    <xdr:to>
      <xdr:col>58</xdr:col>
      <xdr:colOff>0</xdr:colOff>
      <xdr:row>101</xdr:row>
      <xdr:rowOff>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CxnSpPr>
          <a:stCxn id="50" idx="0"/>
          <a:endCxn id="50" idx="2"/>
        </xdr:cNvCxnSpPr>
      </xdr:nvCxnSpPr>
      <xdr:spPr>
        <a:xfrm>
          <a:off x="10312400" y="16535400"/>
          <a:ext cx="0" cy="35560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97</xdr:row>
      <xdr:rowOff>0</xdr:rowOff>
    </xdr:from>
    <xdr:to>
      <xdr:col>45</xdr:col>
      <xdr:colOff>0</xdr:colOff>
      <xdr:row>99</xdr:row>
      <xdr:rowOff>0</xdr:rowOff>
    </xdr:to>
    <xdr:sp macro="" textlink="">
      <xdr:nvSpPr>
        <xdr:cNvPr id="52" name="フローチャート: 処理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7645400" y="138684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44</xdr:col>
      <xdr:colOff>0</xdr:colOff>
      <xdr:row>97</xdr:row>
      <xdr:rowOff>0</xdr:rowOff>
    </xdr:from>
    <xdr:to>
      <xdr:col>44</xdr:col>
      <xdr:colOff>0</xdr:colOff>
      <xdr:row>99</xdr:row>
      <xdr:rowOff>0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CxnSpPr>
          <a:stCxn id="52" idx="0"/>
          <a:endCxn id="52" idx="2"/>
        </xdr:cNvCxnSpPr>
      </xdr:nvCxnSpPr>
      <xdr:spPr>
        <a:xfrm>
          <a:off x="7823200" y="13868400"/>
          <a:ext cx="0" cy="35560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94</xdr:row>
      <xdr:rowOff>0</xdr:rowOff>
    </xdr:from>
    <xdr:to>
      <xdr:col>49</xdr:col>
      <xdr:colOff>0</xdr:colOff>
      <xdr:row>96</xdr:row>
      <xdr:rowOff>0</xdr:rowOff>
    </xdr:to>
    <xdr:sp macro="" textlink="">
      <xdr:nvSpPr>
        <xdr:cNvPr id="54" name="フローチャート: 処理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8356600" y="133350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48</xdr:col>
      <xdr:colOff>0</xdr:colOff>
      <xdr:row>94</xdr:row>
      <xdr:rowOff>0</xdr:rowOff>
    </xdr:from>
    <xdr:to>
      <xdr:col>48</xdr:col>
      <xdr:colOff>0</xdr:colOff>
      <xdr:row>96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CxnSpPr>
          <a:stCxn id="54" idx="0"/>
          <a:endCxn id="54" idx="2"/>
        </xdr:cNvCxnSpPr>
      </xdr:nvCxnSpPr>
      <xdr:spPr>
        <a:xfrm>
          <a:off x="8534400" y="13335000"/>
          <a:ext cx="0" cy="35560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43</xdr:row>
      <xdr:rowOff>0</xdr:rowOff>
    </xdr:from>
    <xdr:to>
      <xdr:col>24</xdr:col>
      <xdr:colOff>0</xdr:colOff>
      <xdr:row>46</xdr:row>
      <xdr:rowOff>0</xdr:rowOff>
    </xdr:to>
    <xdr:sp macro="" textlink="">
      <xdr:nvSpPr>
        <xdr:cNvPr id="63" name="フローチャート: 処理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2133600" y="65786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en-US" altLang="ja-JP" sz="1000" b="0"/>
            <a:t>SW(</a:t>
          </a:r>
          <a:r>
            <a:rPr kumimoji="1" lang="ja-JP" altLang="en-US" sz="1000" b="0"/>
            <a:t>電源・復帰</a:t>
          </a:r>
          <a:r>
            <a:rPr kumimoji="1" lang="en-US" altLang="ja-JP" sz="1000" b="0"/>
            <a:t>)</a:t>
          </a:r>
          <a:r>
            <a:rPr kumimoji="1" lang="ja-JP" altLang="en-US" sz="1000" b="0"/>
            <a:t>状態取得</a:t>
          </a:r>
        </a:p>
      </xdr:txBody>
    </xdr:sp>
    <xdr:clientData/>
  </xdr:twoCellAnchor>
  <xdr:twoCellAnchor>
    <xdr:from>
      <xdr:col>12</xdr:col>
      <xdr:colOff>0</xdr:colOff>
      <xdr:row>58</xdr:row>
      <xdr:rowOff>0</xdr:rowOff>
    </xdr:from>
    <xdr:to>
      <xdr:col>24</xdr:col>
      <xdr:colOff>0</xdr:colOff>
      <xdr:row>61</xdr:row>
      <xdr:rowOff>0</xdr:rowOff>
    </xdr:to>
    <xdr:sp macro="" textlink="">
      <xdr:nvSpPr>
        <xdr:cNvPr id="64" name="フローチャート: 処理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2133600" y="92456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en-US" altLang="ja-JP" sz="1000" b="0"/>
            <a:t>sleep(WDT</a:t>
          </a:r>
          <a:r>
            <a:rPr kumimoji="1" lang="ja-JP" altLang="en-US" sz="1000" b="0"/>
            <a:t>待ち</a:t>
          </a:r>
          <a:r>
            <a:rPr kumimoji="1" lang="en-US" altLang="ja-JP" sz="1000" b="0"/>
            <a:t>)</a:t>
          </a:r>
          <a:endParaRPr kumimoji="1" lang="ja-JP" altLang="en-US" sz="1000" b="0"/>
        </a:p>
      </xdr:txBody>
    </xdr:sp>
    <xdr:clientData/>
  </xdr:twoCellAnchor>
  <xdr:twoCellAnchor>
    <xdr:from>
      <xdr:col>12</xdr:col>
      <xdr:colOff>0</xdr:colOff>
      <xdr:row>48</xdr:row>
      <xdr:rowOff>0</xdr:rowOff>
    </xdr:from>
    <xdr:to>
      <xdr:col>24</xdr:col>
      <xdr:colOff>0</xdr:colOff>
      <xdr:row>52</xdr:row>
      <xdr:rowOff>0</xdr:rowOff>
    </xdr:to>
    <xdr:sp macro="" textlink="">
      <xdr:nvSpPr>
        <xdr:cNvPr id="65" name="フローチャート: 判断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2133600" y="7467600"/>
          <a:ext cx="2133600" cy="711200"/>
        </a:xfrm>
        <a:prstGeom prst="flowChartDecision">
          <a:avLst/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>
              <a:solidFill>
                <a:schemeClr val="tx1"/>
              </a:solidFill>
              <a:latin typeface="+mn-ea"/>
              <a:ea typeface="+mn-ea"/>
            </a:rPr>
            <a:t>SW</a:t>
          </a:r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分析</a:t>
          </a: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12</xdr:col>
      <xdr:colOff>0</xdr:colOff>
      <xdr:row>63</xdr:row>
      <xdr:rowOff>0</xdr:rowOff>
    </xdr:to>
    <xdr:cxnSp macro="">
      <xdr:nvCxnSpPr>
        <xdr:cNvPr id="73" name="コネクタ: カギ線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CxnSpPr>
          <a:stCxn id="137" idx="1"/>
          <a:endCxn id="34" idx="2"/>
        </xdr:cNvCxnSpPr>
      </xdr:nvCxnSpPr>
      <xdr:spPr>
        <a:xfrm rot="10800000">
          <a:off x="1422400" y="6756400"/>
          <a:ext cx="711200" cy="33782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41</xdr:row>
      <xdr:rowOff>0</xdr:rowOff>
    </xdr:from>
    <xdr:to>
      <xdr:col>18</xdr:col>
      <xdr:colOff>0</xdr:colOff>
      <xdr:row>43</xdr:row>
      <xdr:rowOff>0</xdr:rowOff>
    </xdr:to>
    <xdr:cxnSp macro="">
      <xdr:nvCxnSpPr>
        <xdr:cNvPr id="76" name="コネクタ: カギ線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CxnSpPr>
          <a:stCxn id="135" idx="3"/>
          <a:endCxn id="63" idx="0"/>
        </xdr:cNvCxnSpPr>
      </xdr:nvCxnSpPr>
      <xdr:spPr>
        <a:xfrm>
          <a:off x="1955800" y="6223000"/>
          <a:ext cx="1244600" cy="3556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95</xdr:row>
      <xdr:rowOff>0</xdr:rowOff>
    </xdr:from>
    <xdr:to>
      <xdr:col>18</xdr:col>
      <xdr:colOff>0</xdr:colOff>
      <xdr:row>99</xdr:row>
      <xdr:rowOff>0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CxnSpPr>
          <a:stCxn id="2" idx="2"/>
          <a:endCxn id="221" idx="0"/>
        </xdr:cNvCxnSpPr>
      </xdr:nvCxnSpPr>
      <xdr:spPr>
        <a:xfrm>
          <a:off x="3200400" y="15824200"/>
          <a:ext cx="0" cy="7112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46</xdr:row>
      <xdr:rowOff>0</xdr:rowOff>
    </xdr:from>
    <xdr:to>
      <xdr:col>18</xdr:col>
      <xdr:colOff>0</xdr:colOff>
      <xdr:row>48</xdr:row>
      <xdr:rowOff>0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CxnSpPr>
          <a:stCxn id="63" idx="2"/>
          <a:endCxn id="65" idx="0"/>
        </xdr:cNvCxnSpPr>
      </xdr:nvCxnSpPr>
      <xdr:spPr>
        <a:xfrm>
          <a:off x="3200400" y="7112000"/>
          <a:ext cx="0" cy="3556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15</xdr:row>
      <xdr:rowOff>0</xdr:rowOff>
    </xdr:from>
    <xdr:to>
      <xdr:col>18</xdr:col>
      <xdr:colOff>0</xdr:colOff>
      <xdr:row>18</xdr:row>
      <xdr:rowOff>0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CxnSpPr>
          <a:stCxn id="23" idx="2"/>
          <a:endCxn id="216" idx="0"/>
        </xdr:cNvCxnSpPr>
      </xdr:nvCxnSpPr>
      <xdr:spPr>
        <a:xfrm>
          <a:off x="3200400" y="2667000"/>
          <a:ext cx="0" cy="5334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106</xdr:row>
      <xdr:rowOff>0</xdr:rowOff>
    </xdr:from>
    <xdr:to>
      <xdr:col>24</xdr:col>
      <xdr:colOff>0</xdr:colOff>
      <xdr:row>109</xdr:row>
      <xdr:rowOff>0</xdr:rowOff>
    </xdr:to>
    <xdr:sp macro="" textlink="">
      <xdr:nvSpPr>
        <xdr:cNvPr id="94" name="フローチャート: 定義済み処理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2133600" y="17780000"/>
          <a:ext cx="2133600" cy="533400"/>
        </a:xfrm>
        <a:prstGeom prst="flowChartPredefinedProcess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モーター停止</a:t>
          </a:r>
          <a:endParaRPr kumimoji="1" lang="en-US" altLang="ja-JP" sz="10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171450</xdr:colOff>
      <xdr:row>75</xdr:row>
      <xdr:rowOff>6350</xdr:rowOff>
    </xdr:from>
    <xdr:to>
      <xdr:col>23</xdr:col>
      <xdr:colOff>171450</xdr:colOff>
      <xdr:row>78</xdr:row>
      <xdr:rowOff>6350</xdr:rowOff>
    </xdr:to>
    <xdr:sp macro="" textlink="">
      <xdr:nvSpPr>
        <xdr:cNvPr id="95" name="フローチャート: 定義済み処理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2127250" y="9963150"/>
          <a:ext cx="2133600" cy="533400"/>
        </a:xfrm>
        <a:prstGeom prst="flowChartPredefinedProcess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>
              <a:solidFill>
                <a:schemeClr val="tx1"/>
              </a:solidFill>
              <a:latin typeface="+mn-ea"/>
              <a:ea typeface="+mn-ea"/>
            </a:rPr>
            <a:t>Key Scan</a:t>
          </a:r>
        </a:p>
      </xdr:txBody>
    </xdr:sp>
    <xdr:clientData/>
  </xdr:twoCellAnchor>
  <xdr:twoCellAnchor>
    <xdr:from>
      <xdr:col>18</xdr:col>
      <xdr:colOff>0</xdr:colOff>
      <xdr:row>116</xdr:row>
      <xdr:rowOff>0</xdr:rowOff>
    </xdr:from>
    <xdr:to>
      <xdr:col>18</xdr:col>
      <xdr:colOff>0</xdr:colOff>
      <xdr:row>119</xdr:row>
      <xdr:rowOff>0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CxnSpPr>
          <a:stCxn id="14" idx="2"/>
          <a:endCxn id="6" idx="0"/>
        </xdr:cNvCxnSpPr>
      </xdr:nvCxnSpPr>
      <xdr:spPr>
        <a:xfrm>
          <a:off x="3200400" y="19558000"/>
          <a:ext cx="0" cy="5334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109</xdr:row>
      <xdr:rowOff>0</xdr:rowOff>
    </xdr:from>
    <xdr:to>
      <xdr:col>18</xdr:col>
      <xdr:colOff>0</xdr:colOff>
      <xdr:row>113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CxnSpPr>
          <a:stCxn id="94" idx="2"/>
          <a:endCxn id="14" idx="0"/>
        </xdr:cNvCxnSpPr>
      </xdr:nvCxnSpPr>
      <xdr:spPr>
        <a:xfrm>
          <a:off x="3200400" y="18313400"/>
          <a:ext cx="0" cy="7112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103</xdr:row>
      <xdr:rowOff>0</xdr:rowOff>
    </xdr:from>
    <xdr:to>
      <xdr:col>18</xdr:col>
      <xdr:colOff>0</xdr:colOff>
      <xdr:row>106</xdr:row>
      <xdr:rowOff>0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CxnSpPr>
          <a:stCxn id="221" idx="2"/>
          <a:endCxn id="94" idx="0"/>
        </xdr:cNvCxnSpPr>
      </xdr:nvCxnSpPr>
      <xdr:spPr>
        <a:xfrm>
          <a:off x="3200400" y="17246600"/>
          <a:ext cx="0" cy="5334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33</xdr:row>
      <xdr:rowOff>0</xdr:rowOff>
    </xdr:from>
    <xdr:to>
      <xdr:col>37</xdr:col>
      <xdr:colOff>0</xdr:colOff>
      <xdr:row>36</xdr:row>
      <xdr:rowOff>0</xdr:rowOff>
    </xdr:to>
    <xdr:sp macro="" textlink="">
      <xdr:nvSpPr>
        <xdr:cNvPr id="121" name="フローチャート: 処理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4445000" y="58674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en-US" altLang="ja-JP" sz="1000" b="0"/>
            <a:t>EEPROM</a:t>
          </a:r>
          <a:r>
            <a:rPr kumimoji="1" lang="ja-JP" altLang="en-US" sz="1000" b="0"/>
            <a:t>更新</a:t>
          </a:r>
        </a:p>
      </xdr:txBody>
    </xdr:sp>
    <xdr:clientData/>
  </xdr:twoCellAnchor>
  <xdr:twoCellAnchor>
    <xdr:from>
      <xdr:col>40</xdr:col>
      <xdr:colOff>82550</xdr:colOff>
      <xdr:row>97</xdr:row>
      <xdr:rowOff>0</xdr:rowOff>
    </xdr:from>
    <xdr:to>
      <xdr:col>40</xdr:col>
      <xdr:colOff>88900</xdr:colOff>
      <xdr:row>99</xdr:row>
      <xdr:rowOff>0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CxnSpPr/>
      </xdr:nvCxnSpPr>
      <xdr:spPr>
        <a:xfrm>
          <a:off x="7194550" y="16179800"/>
          <a:ext cx="6350" cy="3556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50800</xdr:colOff>
      <xdr:row>97</xdr:row>
      <xdr:rowOff>0</xdr:rowOff>
    </xdr:from>
    <xdr:to>
      <xdr:col>50</xdr:col>
      <xdr:colOff>57150</xdr:colOff>
      <xdr:row>99</xdr:row>
      <xdr:rowOff>0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CxnSpPr/>
      </xdr:nvCxnSpPr>
      <xdr:spPr>
        <a:xfrm>
          <a:off x="8940800" y="16179800"/>
          <a:ext cx="6350" cy="3556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53</xdr:row>
      <xdr:rowOff>0</xdr:rowOff>
    </xdr:from>
    <xdr:to>
      <xdr:col>57</xdr:col>
      <xdr:colOff>0</xdr:colOff>
      <xdr:row>56</xdr:row>
      <xdr:rowOff>0</xdr:rowOff>
    </xdr:to>
    <xdr:sp macro="" textlink="">
      <xdr:nvSpPr>
        <xdr:cNvPr id="124" name="フローチャート: 処理 123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8001000" y="83566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ja-JP" altLang="en-US" sz="1000" b="0"/>
            <a:t>リセット要因</a:t>
          </a:r>
          <a:r>
            <a:rPr kumimoji="1" lang="en-US" altLang="ja-JP" sz="1000" b="0"/>
            <a:t>(cold boot)</a:t>
          </a:r>
          <a:r>
            <a:rPr kumimoji="1" lang="ja-JP" altLang="en-US" sz="1000" b="0"/>
            <a:t>設定</a:t>
          </a:r>
        </a:p>
      </xdr:txBody>
    </xdr:sp>
    <xdr:clientData/>
  </xdr:twoCellAnchor>
  <xdr:twoCellAnchor>
    <xdr:from>
      <xdr:col>18</xdr:col>
      <xdr:colOff>0</xdr:colOff>
      <xdr:row>32</xdr:row>
      <xdr:rowOff>0</xdr:rowOff>
    </xdr:from>
    <xdr:to>
      <xdr:col>18</xdr:col>
      <xdr:colOff>0</xdr:colOff>
      <xdr:row>43</xdr:row>
      <xdr:rowOff>0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CxnSpPr>
          <a:stCxn id="253" idx="2"/>
          <a:endCxn id="63" idx="0"/>
        </xdr:cNvCxnSpPr>
      </xdr:nvCxnSpPr>
      <xdr:spPr>
        <a:xfrm>
          <a:off x="3200400" y="5689600"/>
          <a:ext cx="0" cy="19558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56</xdr:row>
      <xdr:rowOff>0</xdr:rowOff>
    </xdr:from>
    <xdr:to>
      <xdr:col>51</xdr:col>
      <xdr:colOff>0</xdr:colOff>
      <xdr:row>65</xdr:row>
      <xdr:rowOff>0</xdr:rowOff>
    </xdr:to>
    <xdr:cxnSp macro="">
      <xdr:nvCxnSpPr>
        <xdr:cNvPr id="127" name="直線矢印コネクタ 126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CxnSpPr>
          <a:stCxn id="124" idx="2"/>
          <a:endCxn id="17" idx="0"/>
        </xdr:cNvCxnSpPr>
      </xdr:nvCxnSpPr>
      <xdr:spPr>
        <a:xfrm>
          <a:off x="9067800" y="8890000"/>
          <a:ext cx="0" cy="16002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53</xdr:row>
      <xdr:rowOff>0</xdr:rowOff>
    </xdr:from>
    <xdr:to>
      <xdr:col>41</xdr:col>
      <xdr:colOff>0</xdr:colOff>
      <xdr:row>56</xdr:row>
      <xdr:rowOff>0</xdr:rowOff>
    </xdr:to>
    <xdr:sp macro="" textlink="">
      <xdr:nvSpPr>
        <xdr:cNvPr id="134" name="フローチャート: 処理 133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/>
      </xdr:nvSpPr>
      <xdr:spPr>
        <a:xfrm>
          <a:off x="5156200" y="83566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ja-JP" altLang="en-US" sz="1000" b="0"/>
            <a:t>原点復帰設定</a:t>
          </a: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11</xdr:col>
      <xdr:colOff>0</xdr:colOff>
      <xdr:row>42</xdr:row>
      <xdr:rowOff>0</xdr:rowOff>
    </xdr:to>
    <xdr:sp macro="" textlink="">
      <xdr:nvSpPr>
        <xdr:cNvPr id="135" name="フローチャート: 処理 134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1600200" y="60452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9</xdr:col>
      <xdr:colOff>0</xdr:colOff>
      <xdr:row>41</xdr:row>
      <xdr:rowOff>0</xdr:rowOff>
    </xdr:from>
    <xdr:to>
      <xdr:col>11</xdr:col>
      <xdr:colOff>0</xdr:colOff>
      <xdr:row>41</xdr:row>
      <xdr:rowOff>0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CxnSpPr>
          <a:stCxn id="135" idx="1"/>
          <a:endCxn id="135" idx="3"/>
        </xdr:cNvCxnSpPr>
      </xdr:nvCxnSpPr>
      <xdr:spPr>
        <a:xfrm>
          <a:off x="1600200" y="6223000"/>
          <a:ext cx="355600" cy="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62</xdr:row>
      <xdr:rowOff>0</xdr:rowOff>
    </xdr:from>
    <xdr:to>
      <xdr:col>14</xdr:col>
      <xdr:colOff>0</xdr:colOff>
      <xdr:row>64</xdr:row>
      <xdr:rowOff>0</xdr:rowOff>
    </xdr:to>
    <xdr:sp macro="" textlink="">
      <xdr:nvSpPr>
        <xdr:cNvPr id="137" name="フローチャート: 処理 136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/>
      </xdr:nvSpPr>
      <xdr:spPr>
        <a:xfrm>
          <a:off x="2133600" y="99568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12</xdr:col>
      <xdr:colOff>0</xdr:colOff>
      <xdr:row>63</xdr:row>
      <xdr:rowOff>0</xdr:rowOff>
    </xdr:from>
    <xdr:to>
      <xdr:col>14</xdr:col>
      <xdr:colOff>0</xdr:colOff>
      <xdr:row>63</xdr:row>
      <xdr:rowOff>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CxnSpPr>
          <a:stCxn id="137" idx="1"/>
          <a:endCxn id="137" idx="3"/>
        </xdr:cNvCxnSpPr>
      </xdr:nvCxnSpPr>
      <xdr:spPr>
        <a:xfrm>
          <a:off x="2133600" y="10134600"/>
          <a:ext cx="355600" cy="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41</xdr:row>
      <xdr:rowOff>0</xdr:rowOff>
    </xdr:from>
    <xdr:to>
      <xdr:col>9</xdr:col>
      <xdr:colOff>0</xdr:colOff>
      <xdr:row>42</xdr:row>
      <xdr:rowOff>0</xdr:rowOff>
    </xdr:to>
    <xdr:cxnSp macro="">
      <xdr:nvCxnSpPr>
        <xdr:cNvPr id="141" name="コネクタ: カギ線 140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CxnSpPr>
          <a:stCxn id="34" idx="0"/>
          <a:endCxn id="135" idx="1"/>
        </xdr:cNvCxnSpPr>
      </xdr:nvCxnSpPr>
      <xdr:spPr>
        <a:xfrm rot="5400000" flipH="1" flipV="1">
          <a:off x="1422400" y="6223000"/>
          <a:ext cx="177800" cy="1778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61</xdr:row>
      <xdr:rowOff>0</xdr:rowOff>
    </xdr:from>
    <xdr:to>
      <xdr:col>18</xdr:col>
      <xdr:colOff>0</xdr:colOff>
      <xdr:row>63</xdr:row>
      <xdr:rowOff>0</xdr:rowOff>
    </xdr:to>
    <xdr:cxnSp macro="">
      <xdr:nvCxnSpPr>
        <xdr:cNvPr id="142" name="コネクタ: カギ線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CxnSpPr>
          <a:stCxn id="64" idx="2"/>
          <a:endCxn id="137" idx="3"/>
        </xdr:cNvCxnSpPr>
      </xdr:nvCxnSpPr>
      <xdr:spPr>
        <a:xfrm rot="5400000">
          <a:off x="2667000" y="9601200"/>
          <a:ext cx="355600" cy="7112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61</xdr:row>
      <xdr:rowOff>0</xdr:rowOff>
    </xdr:from>
    <xdr:to>
      <xdr:col>35</xdr:col>
      <xdr:colOff>0</xdr:colOff>
      <xdr:row>63</xdr:row>
      <xdr:rowOff>0</xdr:rowOff>
    </xdr:to>
    <xdr:cxnSp macro="">
      <xdr:nvCxnSpPr>
        <xdr:cNvPr id="145" name="コネクタ: カギ線 144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CxnSpPr>
          <a:stCxn id="211" idx="2"/>
          <a:endCxn id="137" idx="3"/>
        </xdr:cNvCxnSpPr>
      </xdr:nvCxnSpPr>
      <xdr:spPr>
        <a:xfrm rot="5400000">
          <a:off x="4178300" y="8089900"/>
          <a:ext cx="355600" cy="37338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50</xdr:row>
      <xdr:rowOff>0</xdr:rowOff>
    </xdr:from>
    <xdr:to>
      <xdr:col>35</xdr:col>
      <xdr:colOff>0</xdr:colOff>
      <xdr:row>53</xdr:row>
      <xdr:rowOff>0</xdr:rowOff>
    </xdr:to>
    <xdr:cxnSp macro="">
      <xdr:nvCxnSpPr>
        <xdr:cNvPr id="152" name="コネクタ: カギ線 15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CxnSpPr>
          <a:stCxn id="65" idx="3"/>
          <a:endCxn id="134" idx="0"/>
        </xdr:cNvCxnSpPr>
      </xdr:nvCxnSpPr>
      <xdr:spPr>
        <a:xfrm>
          <a:off x="4267200" y="7823200"/>
          <a:ext cx="1955800" cy="5334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33</xdr:row>
      <xdr:rowOff>0</xdr:rowOff>
    </xdr:from>
    <xdr:to>
      <xdr:col>47</xdr:col>
      <xdr:colOff>0</xdr:colOff>
      <xdr:row>35</xdr:row>
      <xdr:rowOff>0</xdr:rowOff>
    </xdr:to>
    <xdr:sp macro="" textlink="">
      <xdr:nvSpPr>
        <xdr:cNvPr id="162" name="フローチャート: 処理 16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8001000" y="48006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45</xdr:col>
      <xdr:colOff>0</xdr:colOff>
      <xdr:row>34</xdr:row>
      <xdr:rowOff>0</xdr:rowOff>
    </xdr:from>
    <xdr:to>
      <xdr:col>47</xdr:col>
      <xdr:colOff>0</xdr:colOff>
      <xdr:row>34</xdr:row>
      <xdr:rowOff>0</xdr:rowOff>
    </xdr:to>
    <xdr:cxnSp macro="">
      <xdr:nvCxnSpPr>
        <xdr:cNvPr id="163" name="直線矢印コネクタ 162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CxnSpPr>
          <a:stCxn id="162" idx="1"/>
          <a:endCxn id="162" idx="3"/>
        </xdr:cNvCxnSpPr>
      </xdr:nvCxnSpPr>
      <xdr:spPr>
        <a:xfrm>
          <a:off x="8001000" y="4978400"/>
          <a:ext cx="355600" cy="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40</xdr:row>
      <xdr:rowOff>0</xdr:rowOff>
    </xdr:from>
    <xdr:to>
      <xdr:col>47</xdr:col>
      <xdr:colOff>0</xdr:colOff>
      <xdr:row>42</xdr:row>
      <xdr:rowOff>0</xdr:rowOff>
    </xdr:to>
    <xdr:sp macro="" textlink="">
      <xdr:nvSpPr>
        <xdr:cNvPr id="164" name="フローチャート: 処理 163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8001000" y="60452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45</xdr:col>
      <xdr:colOff>0</xdr:colOff>
      <xdr:row>41</xdr:row>
      <xdr:rowOff>0</xdr:rowOff>
    </xdr:from>
    <xdr:to>
      <xdr:col>47</xdr:col>
      <xdr:colOff>0</xdr:colOff>
      <xdr:row>41</xdr:row>
      <xdr:rowOff>0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CxnSpPr>
          <a:stCxn id="164" idx="1"/>
          <a:endCxn id="164" idx="3"/>
        </xdr:cNvCxnSpPr>
      </xdr:nvCxnSpPr>
      <xdr:spPr>
        <a:xfrm>
          <a:off x="8001000" y="6223000"/>
          <a:ext cx="355600" cy="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39</xdr:row>
      <xdr:rowOff>6350</xdr:rowOff>
    </xdr:from>
    <xdr:to>
      <xdr:col>45</xdr:col>
      <xdr:colOff>0</xdr:colOff>
      <xdr:row>41</xdr:row>
      <xdr:rowOff>0</xdr:rowOff>
    </xdr:to>
    <xdr:cxnSp macro="">
      <xdr:nvCxnSpPr>
        <xdr:cNvPr id="166" name="コネクタ: カギ線 165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CxnSpPr>
          <a:stCxn id="164" idx="1"/>
          <a:endCxn id="48" idx="2"/>
        </xdr:cNvCxnSpPr>
      </xdr:nvCxnSpPr>
      <xdr:spPr>
        <a:xfrm rot="10800000">
          <a:off x="7112000" y="5873750"/>
          <a:ext cx="889000" cy="34925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34</xdr:row>
      <xdr:rowOff>0</xdr:rowOff>
    </xdr:from>
    <xdr:to>
      <xdr:col>45</xdr:col>
      <xdr:colOff>0</xdr:colOff>
      <xdr:row>36</xdr:row>
      <xdr:rowOff>6350</xdr:rowOff>
    </xdr:to>
    <xdr:cxnSp macro="">
      <xdr:nvCxnSpPr>
        <xdr:cNvPr id="167" name="コネクタ: カギ線 166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CxnSpPr>
          <a:stCxn id="48" idx="0"/>
          <a:endCxn id="162" idx="1"/>
        </xdr:cNvCxnSpPr>
      </xdr:nvCxnSpPr>
      <xdr:spPr>
        <a:xfrm rot="5400000" flipH="1" flipV="1">
          <a:off x="7375525" y="4714875"/>
          <a:ext cx="361950" cy="8890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85</xdr:row>
      <xdr:rowOff>0</xdr:rowOff>
    </xdr:from>
    <xdr:to>
      <xdr:col>43</xdr:col>
      <xdr:colOff>0</xdr:colOff>
      <xdr:row>88</xdr:row>
      <xdr:rowOff>0</xdr:rowOff>
    </xdr:to>
    <xdr:sp macro="" textlink="">
      <xdr:nvSpPr>
        <xdr:cNvPr id="180" name="フローチャート: 処理 179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SpPr/>
      </xdr:nvSpPr>
      <xdr:spPr>
        <a:xfrm>
          <a:off x="5511800" y="117348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ja-JP" altLang="en-US" sz="1000" b="0"/>
            <a:t>動作限界設定</a:t>
          </a:r>
        </a:p>
      </xdr:txBody>
    </xdr:sp>
    <xdr:clientData/>
  </xdr:twoCellAnchor>
  <xdr:twoCellAnchor>
    <xdr:from>
      <xdr:col>47</xdr:col>
      <xdr:colOff>0</xdr:colOff>
      <xdr:row>85</xdr:row>
      <xdr:rowOff>0</xdr:rowOff>
    </xdr:from>
    <xdr:to>
      <xdr:col>59</xdr:col>
      <xdr:colOff>0</xdr:colOff>
      <xdr:row>88</xdr:row>
      <xdr:rowOff>0</xdr:rowOff>
    </xdr:to>
    <xdr:sp macro="" textlink="">
      <xdr:nvSpPr>
        <xdr:cNvPr id="181" name="フローチャート: 処理 180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/>
      </xdr:nvSpPr>
      <xdr:spPr>
        <a:xfrm>
          <a:off x="8356600" y="117348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ja-JP" altLang="en-US" sz="1000" b="0"/>
            <a:t>原点復帰設定</a:t>
          </a:r>
        </a:p>
      </xdr:txBody>
    </xdr:sp>
    <xdr:clientData/>
  </xdr:twoCellAnchor>
  <xdr:twoCellAnchor>
    <xdr:from>
      <xdr:col>24</xdr:col>
      <xdr:colOff>0</xdr:colOff>
      <xdr:row>82</xdr:row>
      <xdr:rowOff>0</xdr:rowOff>
    </xdr:from>
    <xdr:to>
      <xdr:col>53</xdr:col>
      <xdr:colOff>0</xdr:colOff>
      <xdr:row>85</xdr:row>
      <xdr:rowOff>0</xdr:rowOff>
    </xdr:to>
    <xdr:cxnSp macro="">
      <xdr:nvCxnSpPr>
        <xdr:cNvPr id="182" name="コネクタ: カギ線 18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CxnSpPr>
          <a:stCxn id="4" idx="3"/>
          <a:endCxn id="181" idx="0"/>
        </xdr:cNvCxnSpPr>
      </xdr:nvCxnSpPr>
      <xdr:spPr>
        <a:xfrm>
          <a:off x="4267200" y="13512800"/>
          <a:ext cx="5156200" cy="5334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82</xdr:row>
      <xdr:rowOff>0</xdr:rowOff>
    </xdr:from>
    <xdr:to>
      <xdr:col>37</xdr:col>
      <xdr:colOff>0</xdr:colOff>
      <xdr:row>85</xdr:row>
      <xdr:rowOff>0</xdr:rowOff>
    </xdr:to>
    <xdr:cxnSp macro="">
      <xdr:nvCxnSpPr>
        <xdr:cNvPr id="183" name="コネクタ: カギ線 182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CxnSpPr>
          <a:stCxn id="4" idx="3"/>
          <a:endCxn id="180" idx="0"/>
        </xdr:cNvCxnSpPr>
      </xdr:nvCxnSpPr>
      <xdr:spPr>
        <a:xfrm>
          <a:off x="4267200" y="13512800"/>
          <a:ext cx="2311400" cy="5334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0</xdr:rowOff>
    </xdr:from>
    <xdr:to>
      <xdr:col>37</xdr:col>
      <xdr:colOff>0</xdr:colOff>
      <xdr:row>90</xdr:row>
      <xdr:rowOff>0</xdr:rowOff>
    </xdr:to>
    <xdr:cxnSp macro="">
      <xdr:nvCxnSpPr>
        <xdr:cNvPr id="184" name="コネクタ: カギ線 183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CxnSpPr>
          <a:stCxn id="180" idx="2"/>
          <a:endCxn id="37" idx="3"/>
        </xdr:cNvCxnSpPr>
      </xdr:nvCxnSpPr>
      <xdr:spPr>
        <a:xfrm rot="5400000">
          <a:off x="5689600" y="11734800"/>
          <a:ext cx="355600" cy="14224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0</xdr:rowOff>
    </xdr:from>
    <xdr:to>
      <xdr:col>53</xdr:col>
      <xdr:colOff>0</xdr:colOff>
      <xdr:row>90</xdr:row>
      <xdr:rowOff>0</xdr:rowOff>
    </xdr:to>
    <xdr:cxnSp macro="">
      <xdr:nvCxnSpPr>
        <xdr:cNvPr id="185" name="コネクタ: カギ線 184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CxnSpPr>
          <a:stCxn id="181" idx="2"/>
          <a:endCxn id="37" idx="3"/>
        </xdr:cNvCxnSpPr>
      </xdr:nvCxnSpPr>
      <xdr:spPr>
        <a:xfrm rot="5400000">
          <a:off x="7112000" y="10312400"/>
          <a:ext cx="355600" cy="42672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58</xdr:row>
      <xdr:rowOff>0</xdr:rowOff>
    </xdr:from>
    <xdr:to>
      <xdr:col>41</xdr:col>
      <xdr:colOff>0</xdr:colOff>
      <xdr:row>61</xdr:row>
      <xdr:rowOff>0</xdr:rowOff>
    </xdr:to>
    <xdr:sp macro="" textlink="">
      <xdr:nvSpPr>
        <xdr:cNvPr id="211" name="フローチャート: 処理 210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/>
      </xdr:nvSpPr>
      <xdr:spPr>
        <a:xfrm>
          <a:off x="5156200" y="92456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en-US" altLang="ja-JP" sz="1000" b="0"/>
            <a:t>EEPROM</a:t>
          </a:r>
          <a:r>
            <a:rPr kumimoji="1" lang="ja-JP" altLang="en-US" sz="1000" b="0"/>
            <a:t>更新</a:t>
          </a:r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0</xdr:colOff>
      <xdr:row>58</xdr:row>
      <xdr:rowOff>0</xdr:rowOff>
    </xdr:to>
    <xdr:cxnSp macro="">
      <xdr:nvCxnSpPr>
        <xdr:cNvPr id="213" name="直線矢印コネクタ 212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CxnSpPr>
          <a:stCxn id="134" idx="2"/>
          <a:endCxn id="211" idx="0"/>
        </xdr:cNvCxnSpPr>
      </xdr:nvCxnSpPr>
      <xdr:spPr>
        <a:xfrm>
          <a:off x="6223000" y="8890000"/>
          <a:ext cx="0" cy="3556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0</xdr:rowOff>
    </xdr:from>
    <xdr:to>
      <xdr:col>24</xdr:col>
      <xdr:colOff>0</xdr:colOff>
      <xdr:row>21</xdr:row>
      <xdr:rowOff>0</xdr:rowOff>
    </xdr:to>
    <xdr:sp macro="" textlink="">
      <xdr:nvSpPr>
        <xdr:cNvPr id="216" name="フローチャート: 処理 215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/>
      </xdr:nvSpPr>
      <xdr:spPr>
        <a:xfrm>
          <a:off x="2133600" y="32004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en-US" altLang="ja-JP" sz="1000" b="0"/>
            <a:t>Sleep</a:t>
          </a:r>
          <a:r>
            <a:rPr kumimoji="1" lang="ja-JP" altLang="en-US" sz="1000" b="0"/>
            <a:t>時初期設定</a:t>
          </a:r>
        </a:p>
      </xdr:txBody>
    </xdr: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0</xdr:colOff>
      <xdr:row>28</xdr:row>
      <xdr:rowOff>0</xdr:rowOff>
    </xdr:to>
    <xdr:cxnSp macro="">
      <xdr:nvCxnSpPr>
        <xdr:cNvPr id="218" name="直線矢印コネクタ 217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CxnSpPr>
          <a:stCxn id="252" idx="2"/>
          <a:endCxn id="253" idx="0"/>
        </xdr:cNvCxnSpPr>
      </xdr:nvCxnSpPr>
      <xdr:spPr>
        <a:xfrm>
          <a:off x="3200400" y="4622800"/>
          <a:ext cx="0" cy="3556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99</xdr:row>
      <xdr:rowOff>0</xdr:rowOff>
    </xdr:from>
    <xdr:to>
      <xdr:col>24</xdr:col>
      <xdr:colOff>0</xdr:colOff>
      <xdr:row>103</xdr:row>
      <xdr:rowOff>0</xdr:rowOff>
    </xdr:to>
    <xdr:sp macro="" textlink="">
      <xdr:nvSpPr>
        <xdr:cNvPr id="221" name="フローチャート: 判断 220">
          <a:extLst>
            <a:ext uri="{FF2B5EF4-FFF2-40B4-BE49-F238E27FC236}">
              <a16:creationId xmlns:a16="http://schemas.microsoft.com/office/drawing/2014/main" id="{00000000-0008-0000-0800-0000DD000000}"/>
            </a:ext>
          </a:extLst>
        </xdr:cNvPr>
        <xdr:cNvSpPr/>
      </xdr:nvSpPr>
      <xdr:spPr>
        <a:xfrm>
          <a:off x="2133600" y="16535400"/>
          <a:ext cx="2133600" cy="711200"/>
        </a:xfrm>
        <a:prstGeom prst="flowChartDecision">
          <a:avLst/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モーター動作</a:t>
          </a:r>
        </a:p>
      </xdr:txBody>
    </xdr:sp>
    <xdr:clientData/>
  </xdr:twoCellAnchor>
  <xdr:twoCellAnchor>
    <xdr:from>
      <xdr:col>34</xdr:col>
      <xdr:colOff>0</xdr:colOff>
      <xdr:row>94</xdr:row>
      <xdr:rowOff>0</xdr:rowOff>
    </xdr:from>
    <xdr:to>
      <xdr:col>36</xdr:col>
      <xdr:colOff>0</xdr:colOff>
      <xdr:row>96</xdr:row>
      <xdr:rowOff>0</xdr:rowOff>
    </xdr:to>
    <xdr:sp macro="" textlink="">
      <xdr:nvSpPr>
        <xdr:cNvPr id="222" name="フローチャート: 処理 221">
          <a:extLst>
            <a:ext uri="{FF2B5EF4-FFF2-40B4-BE49-F238E27FC236}">
              <a16:creationId xmlns:a16="http://schemas.microsoft.com/office/drawing/2014/main" id="{00000000-0008-0000-0800-0000DE000000}"/>
            </a:ext>
          </a:extLst>
        </xdr:cNvPr>
        <xdr:cNvSpPr/>
      </xdr:nvSpPr>
      <xdr:spPr>
        <a:xfrm>
          <a:off x="6045200" y="156464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34</xdr:col>
      <xdr:colOff>0</xdr:colOff>
      <xdr:row>95</xdr:row>
      <xdr:rowOff>0</xdr:rowOff>
    </xdr:from>
    <xdr:to>
      <xdr:col>36</xdr:col>
      <xdr:colOff>0</xdr:colOff>
      <xdr:row>95</xdr:row>
      <xdr:rowOff>0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00000000-0008-0000-0800-0000DF000000}"/>
            </a:ext>
          </a:extLst>
        </xdr:cNvPr>
        <xdr:cNvCxnSpPr>
          <a:stCxn id="222" idx="1"/>
          <a:endCxn id="222" idx="3"/>
        </xdr:cNvCxnSpPr>
      </xdr:nvCxnSpPr>
      <xdr:spPr>
        <a:xfrm>
          <a:off x="6045200" y="15824200"/>
          <a:ext cx="355600" cy="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94</xdr:row>
      <xdr:rowOff>0</xdr:rowOff>
    </xdr:from>
    <xdr:to>
      <xdr:col>43</xdr:col>
      <xdr:colOff>0</xdr:colOff>
      <xdr:row>96</xdr:row>
      <xdr:rowOff>0</xdr:rowOff>
    </xdr:to>
    <xdr:sp macro="" textlink="">
      <xdr:nvSpPr>
        <xdr:cNvPr id="224" name="フローチャート: 処理 223">
          <a:extLst>
            <a:ext uri="{FF2B5EF4-FFF2-40B4-BE49-F238E27FC236}">
              <a16:creationId xmlns:a16="http://schemas.microsoft.com/office/drawing/2014/main" id="{00000000-0008-0000-0800-0000E0000000}"/>
            </a:ext>
          </a:extLst>
        </xdr:cNvPr>
        <xdr:cNvSpPr/>
      </xdr:nvSpPr>
      <xdr:spPr>
        <a:xfrm>
          <a:off x="7289800" y="156464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41</xdr:col>
      <xdr:colOff>0</xdr:colOff>
      <xdr:row>95</xdr:row>
      <xdr:rowOff>0</xdr:rowOff>
    </xdr:from>
    <xdr:to>
      <xdr:col>43</xdr:col>
      <xdr:colOff>0</xdr:colOff>
      <xdr:row>95</xdr:row>
      <xdr:rowOff>0</xdr:rowOff>
    </xdr:to>
    <xdr:cxnSp macro="">
      <xdr:nvCxnSpPr>
        <xdr:cNvPr id="225" name="直線矢印コネクタ 224">
          <a:extLst>
            <a:ext uri="{FF2B5EF4-FFF2-40B4-BE49-F238E27FC236}">
              <a16:creationId xmlns:a16="http://schemas.microsoft.com/office/drawing/2014/main" id="{00000000-0008-0000-0800-0000E1000000}"/>
            </a:ext>
          </a:extLst>
        </xdr:cNvPr>
        <xdr:cNvCxnSpPr>
          <a:stCxn id="224" idx="1"/>
          <a:endCxn id="224" idx="3"/>
        </xdr:cNvCxnSpPr>
      </xdr:nvCxnSpPr>
      <xdr:spPr>
        <a:xfrm>
          <a:off x="7289800" y="15824200"/>
          <a:ext cx="355600" cy="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110</xdr:row>
      <xdr:rowOff>0</xdr:rowOff>
    </xdr:from>
    <xdr:to>
      <xdr:col>28</xdr:col>
      <xdr:colOff>0</xdr:colOff>
      <xdr:row>112</xdr:row>
      <xdr:rowOff>0</xdr:rowOff>
    </xdr:to>
    <xdr:sp macro="" textlink="">
      <xdr:nvSpPr>
        <xdr:cNvPr id="226" name="フローチャート: 処理 225">
          <a:extLst>
            <a:ext uri="{FF2B5EF4-FFF2-40B4-BE49-F238E27FC236}">
              <a16:creationId xmlns:a16="http://schemas.microsoft.com/office/drawing/2014/main" id="{00000000-0008-0000-0800-0000E2000000}"/>
            </a:ext>
          </a:extLst>
        </xdr:cNvPr>
        <xdr:cNvSpPr/>
      </xdr:nvSpPr>
      <xdr:spPr>
        <a:xfrm>
          <a:off x="4622800" y="184912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26</xdr:col>
      <xdr:colOff>0</xdr:colOff>
      <xdr:row>111</xdr:row>
      <xdr:rowOff>0</xdr:rowOff>
    </xdr:from>
    <xdr:to>
      <xdr:col>28</xdr:col>
      <xdr:colOff>0</xdr:colOff>
      <xdr:row>111</xdr:row>
      <xdr:rowOff>0</xdr:rowOff>
    </xdr:to>
    <xdr:cxnSp macro="">
      <xdr:nvCxnSpPr>
        <xdr:cNvPr id="227" name="直線矢印コネクタ 226">
          <a:extLst>
            <a:ext uri="{FF2B5EF4-FFF2-40B4-BE49-F238E27FC236}">
              <a16:creationId xmlns:a16="http://schemas.microsoft.com/office/drawing/2014/main" id="{00000000-0008-0000-0800-0000E3000000}"/>
            </a:ext>
          </a:extLst>
        </xdr:cNvPr>
        <xdr:cNvCxnSpPr>
          <a:stCxn id="226" idx="1"/>
          <a:endCxn id="226" idx="3"/>
        </xdr:cNvCxnSpPr>
      </xdr:nvCxnSpPr>
      <xdr:spPr>
        <a:xfrm>
          <a:off x="4622800" y="18669000"/>
          <a:ext cx="355600" cy="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106</xdr:row>
      <xdr:rowOff>0</xdr:rowOff>
    </xdr:from>
    <xdr:to>
      <xdr:col>56</xdr:col>
      <xdr:colOff>0</xdr:colOff>
      <xdr:row>109</xdr:row>
      <xdr:rowOff>0</xdr:rowOff>
    </xdr:to>
    <xdr:sp macro="" textlink="">
      <xdr:nvSpPr>
        <xdr:cNvPr id="228" name="フローチャート: 定義済み処理 227">
          <a:extLst>
            <a:ext uri="{FF2B5EF4-FFF2-40B4-BE49-F238E27FC236}">
              <a16:creationId xmlns:a16="http://schemas.microsoft.com/office/drawing/2014/main" id="{00000000-0008-0000-0800-0000E4000000}"/>
            </a:ext>
          </a:extLst>
        </xdr:cNvPr>
        <xdr:cNvSpPr/>
      </xdr:nvSpPr>
      <xdr:spPr>
        <a:xfrm>
          <a:off x="7823200" y="17780000"/>
          <a:ext cx="2133600" cy="533400"/>
        </a:xfrm>
        <a:prstGeom prst="flowChartPredefinedProcess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モーター定電圧制御</a:t>
          </a:r>
          <a:endParaRPr kumimoji="1" lang="en-US" altLang="ja-JP" sz="10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0</xdr:colOff>
      <xdr:row>106</xdr:row>
      <xdr:rowOff>0</xdr:rowOff>
    </xdr:from>
    <xdr:to>
      <xdr:col>40</xdr:col>
      <xdr:colOff>0</xdr:colOff>
      <xdr:row>109</xdr:row>
      <xdr:rowOff>0</xdr:rowOff>
    </xdr:to>
    <xdr:sp macro="" textlink="">
      <xdr:nvSpPr>
        <xdr:cNvPr id="229" name="フローチャート: 定義済み処理 228">
          <a:extLst>
            <a:ext uri="{FF2B5EF4-FFF2-40B4-BE49-F238E27FC236}">
              <a16:creationId xmlns:a16="http://schemas.microsoft.com/office/drawing/2014/main" id="{00000000-0008-0000-0800-0000E5000000}"/>
            </a:ext>
          </a:extLst>
        </xdr:cNvPr>
        <xdr:cNvSpPr/>
      </xdr:nvSpPr>
      <xdr:spPr>
        <a:xfrm>
          <a:off x="4978400" y="17780000"/>
          <a:ext cx="2133600" cy="533400"/>
        </a:xfrm>
        <a:prstGeom prst="flowChartPredefinedProcess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モーター定速制御</a:t>
          </a:r>
          <a:endParaRPr kumimoji="1" lang="en-US" altLang="ja-JP" sz="10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0</xdr:colOff>
      <xdr:row>111</xdr:row>
      <xdr:rowOff>0</xdr:rowOff>
    </xdr:from>
    <xdr:to>
      <xdr:col>26</xdr:col>
      <xdr:colOff>0</xdr:colOff>
      <xdr:row>113</xdr:row>
      <xdr:rowOff>0</xdr:rowOff>
    </xdr:to>
    <xdr:cxnSp macro="">
      <xdr:nvCxnSpPr>
        <xdr:cNvPr id="235" name="コネクタ: カギ線 234">
          <a:extLst>
            <a:ext uri="{FF2B5EF4-FFF2-40B4-BE49-F238E27FC236}">
              <a16:creationId xmlns:a16="http://schemas.microsoft.com/office/drawing/2014/main" id="{00000000-0008-0000-0800-0000EB000000}"/>
            </a:ext>
          </a:extLst>
        </xdr:cNvPr>
        <xdr:cNvCxnSpPr>
          <a:stCxn id="226" idx="1"/>
          <a:endCxn id="14" idx="0"/>
        </xdr:cNvCxnSpPr>
      </xdr:nvCxnSpPr>
      <xdr:spPr>
        <a:xfrm rot="10800000" flipV="1">
          <a:off x="3200400" y="18669000"/>
          <a:ext cx="1422400" cy="3556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101</xdr:row>
      <xdr:rowOff>0</xdr:rowOff>
    </xdr:from>
    <xdr:to>
      <xdr:col>34</xdr:col>
      <xdr:colOff>0</xdr:colOff>
      <xdr:row>106</xdr:row>
      <xdr:rowOff>0</xdr:rowOff>
    </xdr:to>
    <xdr:cxnSp macro="">
      <xdr:nvCxnSpPr>
        <xdr:cNvPr id="236" name="コネクタ: カギ線 235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CxnSpPr>
          <a:stCxn id="221" idx="3"/>
          <a:endCxn id="229" idx="0"/>
        </xdr:cNvCxnSpPr>
      </xdr:nvCxnSpPr>
      <xdr:spPr>
        <a:xfrm>
          <a:off x="4267200" y="16891000"/>
          <a:ext cx="1778000" cy="8890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101</xdr:row>
      <xdr:rowOff>0</xdr:rowOff>
    </xdr:from>
    <xdr:to>
      <xdr:col>50</xdr:col>
      <xdr:colOff>0</xdr:colOff>
      <xdr:row>106</xdr:row>
      <xdr:rowOff>0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00000000-0008-0000-0800-0000ED000000}"/>
            </a:ext>
          </a:extLst>
        </xdr:cNvPr>
        <xdr:cNvCxnSpPr>
          <a:stCxn id="221" idx="3"/>
          <a:endCxn id="228" idx="0"/>
        </xdr:cNvCxnSpPr>
      </xdr:nvCxnSpPr>
      <xdr:spPr>
        <a:xfrm>
          <a:off x="4267200" y="16891000"/>
          <a:ext cx="4622800" cy="8890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109</xdr:row>
      <xdr:rowOff>0</xdr:rowOff>
    </xdr:from>
    <xdr:to>
      <xdr:col>50</xdr:col>
      <xdr:colOff>0</xdr:colOff>
      <xdr:row>111</xdr:row>
      <xdr:rowOff>0</xdr:rowOff>
    </xdr:to>
    <xdr:cxnSp macro="">
      <xdr:nvCxnSpPr>
        <xdr:cNvPr id="238" name="コネクタ: カギ線 237">
          <a:extLst>
            <a:ext uri="{FF2B5EF4-FFF2-40B4-BE49-F238E27FC236}">
              <a16:creationId xmlns:a16="http://schemas.microsoft.com/office/drawing/2014/main" id="{00000000-0008-0000-0800-0000EE000000}"/>
            </a:ext>
          </a:extLst>
        </xdr:cNvPr>
        <xdr:cNvCxnSpPr>
          <a:stCxn id="228" idx="2"/>
          <a:endCxn id="226" idx="3"/>
        </xdr:cNvCxnSpPr>
      </xdr:nvCxnSpPr>
      <xdr:spPr>
        <a:xfrm rot="5400000">
          <a:off x="6756400" y="16535400"/>
          <a:ext cx="355600" cy="39116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109</xdr:row>
      <xdr:rowOff>0</xdr:rowOff>
    </xdr:from>
    <xdr:to>
      <xdr:col>34</xdr:col>
      <xdr:colOff>0</xdr:colOff>
      <xdr:row>111</xdr:row>
      <xdr:rowOff>0</xdr:rowOff>
    </xdr:to>
    <xdr:cxnSp macro="">
      <xdr:nvCxnSpPr>
        <xdr:cNvPr id="239" name="コネクタ: カギ線 238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CxnSpPr>
          <a:stCxn id="229" idx="2"/>
          <a:endCxn id="226" idx="3"/>
        </xdr:cNvCxnSpPr>
      </xdr:nvCxnSpPr>
      <xdr:spPr>
        <a:xfrm rot="5400000">
          <a:off x="5334000" y="17957800"/>
          <a:ext cx="355600" cy="10668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252" name="フローチャート: 処理 251">
          <a:extLst>
            <a:ext uri="{FF2B5EF4-FFF2-40B4-BE49-F238E27FC236}">
              <a16:creationId xmlns:a16="http://schemas.microsoft.com/office/drawing/2014/main" id="{00000000-0008-0000-0800-0000FC000000}"/>
            </a:ext>
          </a:extLst>
        </xdr:cNvPr>
        <xdr:cNvSpPr/>
      </xdr:nvSpPr>
      <xdr:spPr>
        <a:xfrm>
          <a:off x="2133600" y="4089400"/>
          <a:ext cx="2133600" cy="533400"/>
        </a:xfrm>
        <a:prstGeom prst="flowChart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kumimoji="1" lang="en-US" altLang="ja-JP" sz="1000" b="0"/>
            <a:t>SW(</a:t>
          </a:r>
          <a:r>
            <a:rPr kumimoji="1" lang="ja-JP" altLang="en-US" sz="1000" b="0"/>
            <a:t>電源・限界・復帰</a:t>
          </a:r>
          <a:r>
            <a:rPr kumimoji="1" lang="en-US" altLang="ja-JP" sz="1000" b="0"/>
            <a:t>)</a:t>
          </a:r>
          <a:r>
            <a:rPr kumimoji="1" lang="ja-JP" altLang="en-US" sz="1000" b="0"/>
            <a:t>状態取得</a:t>
          </a:r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24</xdr:col>
      <xdr:colOff>0</xdr:colOff>
      <xdr:row>32</xdr:row>
      <xdr:rowOff>0</xdr:rowOff>
    </xdr:to>
    <xdr:sp macro="" textlink="">
      <xdr:nvSpPr>
        <xdr:cNvPr id="253" name="フローチャート: 判断 252">
          <a:extLst>
            <a:ext uri="{FF2B5EF4-FFF2-40B4-BE49-F238E27FC236}">
              <a16:creationId xmlns:a16="http://schemas.microsoft.com/office/drawing/2014/main" id="{00000000-0008-0000-0800-0000FD000000}"/>
            </a:ext>
          </a:extLst>
        </xdr:cNvPr>
        <xdr:cNvSpPr/>
      </xdr:nvSpPr>
      <xdr:spPr>
        <a:xfrm>
          <a:off x="2133600" y="4978400"/>
          <a:ext cx="2133600" cy="711200"/>
        </a:xfrm>
        <a:prstGeom prst="flowChartDecision">
          <a:avLst/>
        </a:prstGeom>
        <a:solidFill>
          <a:schemeClr val="bg1"/>
        </a:solidFill>
        <a:ln w="12700"/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kumimoji="1" lang="en-US" altLang="ja-JP" sz="1000">
              <a:solidFill>
                <a:schemeClr val="tx1"/>
              </a:solidFill>
              <a:latin typeface="+mn-ea"/>
              <a:ea typeface="+mn-ea"/>
            </a:rPr>
            <a:t>SW</a:t>
          </a:r>
          <a:r>
            <a:rPr kumimoji="1" lang="ja-JP" altLang="en-US" sz="1000">
              <a:solidFill>
                <a:schemeClr val="tx1"/>
              </a:solidFill>
              <a:latin typeface="+mn-ea"/>
              <a:ea typeface="+mn-ea"/>
            </a:rPr>
            <a:t>分析</a:t>
          </a:r>
        </a:p>
      </xdr:txBody>
    </xdr:sp>
    <xdr:clientData/>
  </xdr:twoCellAnchor>
  <xdr:twoCellAnchor>
    <xdr:from>
      <xdr:col>18</xdr:col>
      <xdr:colOff>0</xdr:colOff>
      <xdr:row>21</xdr:row>
      <xdr:rowOff>0</xdr:rowOff>
    </xdr:from>
    <xdr:to>
      <xdr:col>18</xdr:col>
      <xdr:colOff>0</xdr:colOff>
      <xdr:row>23</xdr:row>
      <xdr:rowOff>0</xdr:rowOff>
    </xdr:to>
    <xdr:cxnSp macro="">
      <xdr:nvCxnSpPr>
        <xdr:cNvPr id="255" name="直線矢印コネクタ 254">
          <a:extLst>
            <a:ext uri="{FF2B5EF4-FFF2-40B4-BE49-F238E27FC236}">
              <a16:creationId xmlns:a16="http://schemas.microsoft.com/office/drawing/2014/main" id="{00000000-0008-0000-0800-0000FF000000}"/>
            </a:ext>
          </a:extLst>
        </xdr:cNvPr>
        <xdr:cNvCxnSpPr>
          <a:stCxn id="216" idx="2"/>
          <a:endCxn id="252" idx="0"/>
        </xdr:cNvCxnSpPr>
      </xdr:nvCxnSpPr>
      <xdr:spPr>
        <a:xfrm>
          <a:off x="3200400" y="3733800"/>
          <a:ext cx="0" cy="355600"/>
        </a:xfrm>
        <a:prstGeom prst="straightConnector1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39</xdr:row>
      <xdr:rowOff>0</xdr:rowOff>
    </xdr:from>
    <xdr:to>
      <xdr:col>25</xdr:col>
      <xdr:colOff>0</xdr:colOff>
      <xdr:row>41</xdr:row>
      <xdr:rowOff>0</xdr:rowOff>
    </xdr:to>
    <xdr:sp macro="" textlink="">
      <xdr:nvSpPr>
        <xdr:cNvPr id="258" name="フローチャート: 処理 257">
          <a:extLst>
            <a:ext uri="{FF2B5EF4-FFF2-40B4-BE49-F238E27FC236}">
              <a16:creationId xmlns:a16="http://schemas.microsoft.com/office/drawing/2014/main" id="{00000000-0008-0000-0800-000002010000}"/>
            </a:ext>
          </a:extLst>
        </xdr:cNvPr>
        <xdr:cNvSpPr/>
      </xdr:nvSpPr>
      <xdr:spPr>
        <a:xfrm>
          <a:off x="4089400" y="5867400"/>
          <a:ext cx="355600" cy="355600"/>
        </a:xfrm>
        <a:prstGeom prst="flowChartProcess">
          <a:avLst/>
        </a:prstGeom>
        <a:ln w="12700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kumimoji="1" lang="ja-JP" altLang="en-US" sz="1000" b="0"/>
        </a:p>
      </xdr:txBody>
    </xdr:sp>
    <xdr:clientData/>
  </xdr:twoCellAnchor>
  <xdr:twoCellAnchor>
    <xdr:from>
      <xdr:col>18</xdr:col>
      <xdr:colOff>0</xdr:colOff>
      <xdr:row>40</xdr:row>
      <xdr:rowOff>0</xdr:rowOff>
    </xdr:from>
    <xdr:to>
      <xdr:col>23</xdr:col>
      <xdr:colOff>0</xdr:colOff>
      <xdr:row>43</xdr:row>
      <xdr:rowOff>0</xdr:rowOff>
    </xdr:to>
    <xdr:cxnSp macro="">
      <xdr:nvCxnSpPr>
        <xdr:cNvPr id="259" name="コネクタ: カギ線 258">
          <a:extLst>
            <a:ext uri="{FF2B5EF4-FFF2-40B4-BE49-F238E27FC236}">
              <a16:creationId xmlns:a16="http://schemas.microsoft.com/office/drawing/2014/main" id="{00000000-0008-0000-0800-000003010000}"/>
            </a:ext>
          </a:extLst>
        </xdr:cNvPr>
        <xdr:cNvCxnSpPr>
          <a:stCxn id="258" idx="1"/>
          <a:endCxn id="63" idx="0"/>
        </xdr:cNvCxnSpPr>
      </xdr:nvCxnSpPr>
      <xdr:spPr>
        <a:xfrm rot="10800000" flipV="1">
          <a:off x="3200400" y="6045200"/>
          <a:ext cx="889000" cy="5334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0</xdr:colOff>
      <xdr:row>33</xdr:row>
      <xdr:rowOff>0</xdr:rowOff>
    </xdr:to>
    <xdr:cxnSp macro="">
      <xdr:nvCxnSpPr>
        <xdr:cNvPr id="264" name="コネクタ: カギ線 263">
          <a:extLst>
            <a:ext uri="{FF2B5EF4-FFF2-40B4-BE49-F238E27FC236}">
              <a16:creationId xmlns:a16="http://schemas.microsoft.com/office/drawing/2014/main" id="{00000000-0008-0000-0800-000008010000}"/>
            </a:ext>
          </a:extLst>
        </xdr:cNvPr>
        <xdr:cNvCxnSpPr>
          <a:stCxn id="253" idx="3"/>
          <a:endCxn id="121" idx="0"/>
        </xdr:cNvCxnSpPr>
      </xdr:nvCxnSpPr>
      <xdr:spPr>
        <a:xfrm>
          <a:off x="4267200" y="5334000"/>
          <a:ext cx="1244600" cy="533400"/>
        </a:xfrm>
        <a:prstGeom prst="bentConnector2">
          <a:avLst/>
        </a:prstGeom>
        <a:ln w="9525">
          <a:headEnd w="lg" len="lg"/>
          <a:tailEnd type="triangl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36</xdr:row>
      <xdr:rowOff>0</xdr:rowOff>
    </xdr:from>
    <xdr:to>
      <xdr:col>31</xdr:col>
      <xdr:colOff>0</xdr:colOff>
      <xdr:row>40</xdr:row>
      <xdr:rowOff>0</xdr:rowOff>
    </xdr:to>
    <xdr:cxnSp macro="">
      <xdr:nvCxnSpPr>
        <xdr:cNvPr id="265" name="コネクタ: カギ線 264">
          <a:extLst>
            <a:ext uri="{FF2B5EF4-FFF2-40B4-BE49-F238E27FC236}">
              <a16:creationId xmlns:a16="http://schemas.microsoft.com/office/drawing/2014/main" id="{00000000-0008-0000-0800-000009010000}"/>
            </a:ext>
          </a:extLst>
        </xdr:cNvPr>
        <xdr:cNvCxnSpPr>
          <a:stCxn id="121" idx="2"/>
          <a:endCxn id="258" idx="3"/>
        </xdr:cNvCxnSpPr>
      </xdr:nvCxnSpPr>
      <xdr:spPr>
        <a:xfrm rot="5400000">
          <a:off x="4622800" y="6223000"/>
          <a:ext cx="711200" cy="1066800"/>
        </a:xfrm>
        <a:prstGeom prst="bentConnector2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40</xdr:row>
      <xdr:rowOff>0</xdr:rowOff>
    </xdr:from>
    <xdr:to>
      <xdr:col>25</xdr:col>
      <xdr:colOff>0</xdr:colOff>
      <xdr:row>40</xdr:row>
      <xdr:rowOff>0</xdr:rowOff>
    </xdr:to>
    <xdr:cxnSp macro="">
      <xdr:nvCxnSpPr>
        <xdr:cNvPr id="277" name="直線矢印コネクタ 276">
          <a:extLst>
            <a:ext uri="{FF2B5EF4-FFF2-40B4-BE49-F238E27FC236}">
              <a16:creationId xmlns:a16="http://schemas.microsoft.com/office/drawing/2014/main" id="{00000000-0008-0000-0800-000015010000}"/>
            </a:ext>
          </a:extLst>
        </xdr:cNvPr>
        <xdr:cNvCxnSpPr>
          <a:stCxn id="258" idx="1"/>
          <a:endCxn id="258" idx="3"/>
        </xdr:cNvCxnSpPr>
      </xdr:nvCxnSpPr>
      <xdr:spPr>
        <a:xfrm>
          <a:off x="4089400" y="7112000"/>
          <a:ext cx="355600" cy="0"/>
        </a:xfrm>
        <a:prstGeom prst="straightConnector1">
          <a:avLst/>
        </a:prstGeom>
        <a:ln w="9525">
          <a:headEnd w="lg" len="lg"/>
          <a:tailEnd type="none" w="lg" len="lg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109</xdr:row>
      <xdr:rowOff>50800</xdr:rowOff>
    </xdr:from>
    <xdr:to>
      <xdr:col>10</xdr:col>
      <xdr:colOff>482600</xdr:colOff>
      <xdr:row>141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1816100</xdr:colOff>
      <xdr:row>81</xdr:row>
      <xdr:rowOff>69850</xdr:rowOff>
    </xdr:from>
    <xdr:to>
      <xdr:col>10</xdr:col>
      <xdr:colOff>609600</xdr:colOff>
      <xdr:row>106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81</xdr:row>
      <xdr:rowOff>120650</xdr:rowOff>
    </xdr:from>
    <xdr:to>
      <xdr:col>20</xdr:col>
      <xdr:colOff>38100</xdr:colOff>
      <xdr:row>106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15</xdr:col>
          <xdr:colOff>396240</xdr:colOff>
          <xdr:row>23</xdr:row>
          <xdr:rowOff>38100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9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165100</xdr:colOff>
      <xdr:row>26</xdr:row>
      <xdr:rowOff>63500</xdr:rowOff>
    </xdr:from>
    <xdr:to>
      <xdr:col>13</xdr:col>
      <xdr:colOff>25400</xdr:colOff>
      <xdr:row>34</xdr:row>
      <xdr:rowOff>165100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10058400" y="6007100"/>
          <a:ext cx="37719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PR</a:t>
          </a:r>
          <a:r>
            <a:rPr kumimoji="1" lang="ja-JP" altLang="en-US" sz="1100"/>
            <a:t>と</a:t>
          </a:r>
          <a:r>
            <a:rPr kumimoji="1" lang="en-US" altLang="ja-JP" sz="1100"/>
            <a:t>CCPR</a:t>
          </a:r>
          <a:r>
            <a:rPr kumimoji="1" lang="ja-JP" altLang="en-US" sz="1100"/>
            <a:t>に、簡単な演算を施した</a:t>
          </a:r>
          <a:r>
            <a:rPr kumimoji="1" lang="en-US" altLang="ja-JP" sz="1100"/>
            <a:t>ADRES</a:t>
          </a:r>
          <a:r>
            <a:rPr kumimoji="1" lang="ja-JP" altLang="en-US" sz="1100"/>
            <a:t>を、設定できるようにする</a:t>
          </a:r>
          <a:r>
            <a:rPr kumimoji="1" lang="en-US" altLang="ja-JP" sz="1100"/>
            <a:t>IAVE</a:t>
          </a:r>
          <a:r>
            <a:rPr kumimoji="1" lang="ja-JP" altLang="en-US" sz="1100"/>
            <a:t>の値がある。</a:t>
          </a:r>
          <a:endParaRPr kumimoji="1" lang="en-US" altLang="ja-JP" sz="1100"/>
        </a:p>
        <a:p>
          <a:r>
            <a:rPr kumimoji="1" lang="en-US" altLang="ja-JP" sz="1100"/>
            <a:t>1/16=IAVE*215/1.024</a:t>
          </a:r>
          <a:r>
            <a:rPr kumimoji="1" lang="ja-JP" altLang="en-US" sz="1100"/>
            <a:t>では約</a:t>
          </a:r>
          <a:r>
            <a:rPr kumimoji="1" lang="en-US" altLang="ja-JP" sz="1100"/>
            <a:t>0.2976744mA</a:t>
          </a:r>
        </a:p>
        <a:p>
          <a:r>
            <a:rPr kumimoji="1" lang="en-US" altLang="ja-JP" sz="1100"/>
            <a:t>1/8=IAVE*215/1.024</a:t>
          </a:r>
          <a:r>
            <a:rPr kumimoji="1" lang="ja-JP" altLang="en-US" sz="1100"/>
            <a:t>では約</a:t>
          </a:r>
          <a:r>
            <a:rPr kumimoji="1" lang="en-US" altLang="ja-JP" sz="1100"/>
            <a:t>0.5953488mA</a:t>
          </a:r>
        </a:p>
        <a:p>
          <a:r>
            <a:rPr kumimoji="1" lang="en-US" altLang="ja-JP" sz="1100"/>
            <a:t>1/4=IAVE*215/1.024</a:t>
          </a:r>
          <a:r>
            <a:rPr kumimoji="1" lang="ja-JP" altLang="en-US" sz="1100"/>
            <a:t>では約</a:t>
          </a:r>
          <a:r>
            <a:rPr kumimoji="1" lang="en-US" altLang="ja-JP" sz="1100"/>
            <a:t>1.1906976744mA</a:t>
          </a:r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22860</xdr:rowOff>
        </xdr:from>
        <xdr:to>
          <xdr:col>11</xdr:col>
          <xdr:colOff>784860</xdr:colOff>
          <xdr:row>41</xdr:row>
          <xdr:rowOff>152400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9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44</xdr:row>
          <xdr:rowOff>0</xdr:rowOff>
        </xdr:from>
        <xdr:to>
          <xdr:col>11</xdr:col>
          <xdr:colOff>822960</xdr:colOff>
          <xdr:row>46</xdr:row>
          <xdr:rowOff>129540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9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22860</xdr:rowOff>
        </xdr:from>
        <xdr:to>
          <xdr:col>11</xdr:col>
          <xdr:colOff>784860</xdr:colOff>
          <xdr:row>51</xdr:row>
          <xdr:rowOff>152400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9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16</xdr:col>
      <xdr:colOff>281</xdr:colOff>
      <xdr:row>29</xdr:row>
      <xdr:rowOff>9834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6720" y="182880"/>
          <a:ext cx="2011961" cy="4947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oleObject" Target="../embeddings/oleObject7.bin"/><Relationship Id="rId7" Type="http://schemas.openxmlformats.org/officeDocument/2006/relationships/oleObject" Target="../embeddings/oleObject9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6" Type="http://schemas.openxmlformats.org/officeDocument/2006/relationships/image" Target="../media/image8.emf"/><Relationship Id="rId5" Type="http://schemas.openxmlformats.org/officeDocument/2006/relationships/oleObject" Target="../embeddings/oleObject8.bin"/><Relationship Id="rId10" Type="http://schemas.openxmlformats.org/officeDocument/2006/relationships/image" Target="../media/image10.emf"/><Relationship Id="rId4" Type="http://schemas.openxmlformats.org/officeDocument/2006/relationships/image" Target="../media/image7.emf"/><Relationship Id="rId9" Type="http://schemas.openxmlformats.org/officeDocument/2006/relationships/oleObject" Target="../embeddings/oleObject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4.bin"/><Relationship Id="rId12" Type="http://schemas.openxmlformats.org/officeDocument/2006/relationships/image" Target="../media/image6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3.e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3.bin"/><Relationship Id="rId10" Type="http://schemas.openxmlformats.org/officeDocument/2006/relationships/image" Target="../media/image5.emf"/><Relationship Id="rId4" Type="http://schemas.openxmlformats.org/officeDocument/2006/relationships/image" Target="../media/image2.emf"/><Relationship Id="rId9" Type="http://schemas.openxmlformats.org/officeDocument/2006/relationships/oleObject" Target="../embeddings/oleObject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223"/>
  <sheetViews>
    <sheetView zoomScale="130" zoomScaleNormal="130" zoomScalePageLayoutView="150"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E220" sqref="E220"/>
    </sheetView>
  </sheetViews>
  <sheetFormatPr defaultColWidth="12.796875" defaultRowHeight="14.4"/>
  <cols>
    <col min="1" max="1" width="16.5" bestFit="1" customWidth="1"/>
    <col min="2" max="2" width="12.296875" style="70" bestFit="1" customWidth="1"/>
    <col min="3" max="3" width="9.69921875" customWidth="1"/>
    <col min="4" max="4" width="13.59765625" style="1" customWidth="1"/>
    <col min="5" max="5" width="13.5" style="1" bestFit="1" customWidth="1"/>
    <col min="6" max="6" width="9.69921875" style="34" customWidth="1"/>
    <col min="7" max="7" width="9.69921875" style="1" customWidth="1"/>
    <col min="8" max="8" width="12.5" style="6" bestFit="1" customWidth="1"/>
    <col min="9" max="10" width="9.69921875" style="1" customWidth="1"/>
    <col min="11" max="11" width="9.69921875" style="34" customWidth="1"/>
    <col min="12" max="14" width="9.69921875" style="1" customWidth="1"/>
    <col min="15" max="15" width="18.296875" style="6" bestFit="1" customWidth="1"/>
    <col min="16" max="16" width="19.69921875" style="3" bestFit="1" customWidth="1"/>
    <col min="17" max="17" width="15.296875" style="8" bestFit="1" customWidth="1"/>
    <col min="18" max="18" width="12.796875" style="8"/>
    <col min="182" max="182" width="13.19921875" bestFit="1" customWidth="1"/>
  </cols>
  <sheetData>
    <row r="1" spans="1:18">
      <c r="A1" s="92"/>
      <c r="B1" s="304" t="s">
        <v>486</v>
      </c>
      <c r="C1" s="305"/>
      <c r="D1" s="305"/>
      <c r="E1" s="305"/>
      <c r="F1" s="306"/>
      <c r="G1" s="307" t="s">
        <v>487</v>
      </c>
      <c r="H1" s="308"/>
      <c r="I1" s="308"/>
      <c r="J1" s="308"/>
      <c r="K1" s="309"/>
      <c r="L1" s="301" t="s">
        <v>488</v>
      </c>
      <c r="M1" s="302"/>
      <c r="N1" s="303"/>
    </row>
    <row r="2" spans="1:18" ht="15" thickBot="1">
      <c r="A2" s="95"/>
      <c r="B2" s="83" t="s">
        <v>489</v>
      </c>
      <c r="C2" s="22" t="s">
        <v>490</v>
      </c>
      <c r="D2" s="84" t="s">
        <v>491</v>
      </c>
      <c r="E2" s="84" t="s">
        <v>492</v>
      </c>
      <c r="F2" s="85" t="s">
        <v>493</v>
      </c>
      <c r="G2" s="83" t="s">
        <v>489</v>
      </c>
      <c r="H2" s="22" t="s">
        <v>490</v>
      </c>
      <c r="I2" s="84" t="s">
        <v>491</v>
      </c>
      <c r="J2" s="84" t="s">
        <v>492</v>
      </c>
      <c r="K2" s="85" t="s">
        <v>493</v>
      </c>
      <c r="L2" s="88" t="s">
        <v>489</v>
      </c>
      <c r="M2" s="84" t="s">
        <v>494</v>
      </c>
      <c r="N2" s="91" t="s">
        <v>474</v>
      </c>
    </row>
    <row r="3" spans="1:18" s="71" customFormat="1">
      <c r="A3" s="96" t="s">
        <v>388</v>
      </c>
      <c r="B3" s="97">
        <v>0.2</v>
      </c>
      <c r="C3" s="98">
        <v>9100</v>
      </c>
      <c r="D3" s="99">
        <f>B3*N3</f>
        <v>0.13636363636363635</v>
      </c>
      <c r="E3" s="99">
        <f>M3-D3</f>
        <v>1.3636363636363638</v>
      </c>
      <c r="F3" s="100">
        <f>C3/E3</f>
        <v>6673.333333333333</v>
      </c>
      <c r="G3" s="101">
        <v>0.66</v>
      </c>
      <c r="H3" s="102">
        <v>6990</v>
      </c>
      <c r="I3" s="99">
        <f>G3*N3</f>
        <v>0.45</v>
      </c>
      <c r="J3" s="99">
        <f>M3-I3</f>
        <v>1.05</v>
      </c>
      <c r="K3" s="100">
        <f>H3/J3</f>
        <v>6657.1428571428569</v>
      </c>
      <c r="L3" s="101">
        <v>2.2000000000000002</v>
      </c>
      <c r="M3" s="99">
        <v>1.5</v>
      </c>
      <c r="N3" s="103">
        <f>M3/L3</f>
        <v>0.68181818181818177</v>
      </c>
      <c r="O3" s="73" t="s">
        <v>508</v>
      </c>
      <c r="P3" s="72"/>
      <c r="Q3" s="74"/>
      <c r="R3" s="74"/>
    </row>
    <row r="4" spans="1:18">
      <c r="A4" s="93" t="s">
        <v>477</v>
      </c>
      <c r="B4" s="79">
        <v>0.15</v>
      </c>
      <c r="C4" s="9">
        <v>12300</v>
      </c>
      <c r="D4" s="78">
        <f t="shared" ref="D4" si="0">B4*N4</f>
        <v>0.21428571428571427</v>
      </c>
      <c r="E4" s="78">
        <f t="shared" ref="E4" si="1">M4-D4</f>
        <v>2.7857142857142856</v>
      </c>
      <c r="F4" s="80">
        <f t="shared" ref="F4" si="2">C4/E4</f>
        <v>4415.3846153846152</v>
      </c>
      <c r="G4" s="87">
        <v>0.56000000000000005</v>
      </c>
      <c r="H4" s="11">
        <v>9710</v>
      </c>
      <c r="I4" s="78">
        <f t="shared" ref="I4" si="3">G4*N4</f>
        <v>0.8</v>
      </c>
      <c r="J4" s="78">
        <f t="shared" ref="J4" si="4">M4-I4</f>
        <v>2.2000000000000002</v>
      </c>
      <c r="K4" s="80">
        <f t="shared" ref="K4" si="5">H4/J4</f>
        <v>4413.6363636363631</v>
      </c>
      <c r="L4" s="87">
        <v>2.1</v>
      </c>
      <c r="M4" s="78">
        <v>3</v>
      </c>
      <c r="N4" s="89">
        <f t="shared" ref="N4" si="6">M4/L4</f>
        <v>1.4285714285714286</v>
      </c>
      <c r="O4"/>
    </row>
    <row r="5" spans="1:18">
      <c r="A5" s="93" t="s">
        <v>767</v>
      </c>
      <c r="B5" s="79">
        <v>0.11</v>
      </c>
      <c r="C5" s="9">
        <v>8300</v>
      </c>
      <c r="D5" s="78">
        <f t="shared" ref="D5:D8" si="7">B5*N5</f>
        <v>0.36666666666666664</v>
      </c>
      <c r="E5" s="78">
        <f t="shared" ref="E5:E8" si="8">M5-D5</f>
        <v>2.6333333333333333</v>
      </c>
      <c r="F5" s="80">
        <f t="shared" ref="F5:F8" si="9">C5/E5</f>
        <v>3151.8987341772154</v>
      </c>
      <c r="G5" s="87">
        <v>0.31</v>
      </c>
      <c r="H5" s="11">
        <v>6150</v>
      </c>
      <c r="I5" s="78">
        <f t="shared" ref="I5:I8" si="10">G5*N5</f>
        <v>1.0333333333333332</v>
      </c>
      <c r="J5" s="78">
        <f t="shared" ref="J5:J8" si="11">M5-I5</f>
        <v>1.9666666666666668</v>
      </c>
      <c r="K5" s="80">
        <f t="shared" ref="K5:K8" si="12">H5/J5</f>
        <v>3127.1186440677966</v>
      </c>
      <c r="L5" s="87">
        <v>0.9</v>
      </c>
      <c r="M5" s="78">
        <v>3</v>
      </c>
      <c r="N5" s="89">
        <f t="shared" ref="N5:N8" si="13">M5/L5</f>
        <v>3.333333333333333</v>
      </c>
    </row>
    <row r="6" spans="1:18">
      <c r="A6" s="93" t="s">
        <v>768</v>
      </c>
      <c r="B6" s="79">
        <v>7.0000000000000007E-2</v>
      </c>
      <c r="C6" s="9">
        <v>6300</v>
      </c>
      <c r="D6" s="78">
        <f t="shared" si="7"/>
        <v>0.95454545454545459</v>
      </c>
      <c r="E6" s="78">
        <f t="shared" si="8"/>
        <v>3.5454545454545454</v>
      </c>
      <c r="F6" s="80">
        <f t="shared" si="9"/>
        <v>1776.9230769230769</v>
      </c>
      <c r="G6" s="87">
        <v>0.15</v>
      </c>
      <c r="H6" s="11">
        <v>4310</v>
      </c>
      <c r="I6" s="78">
        <f t="shared" si="10"/>
        <v>2.045454545454545</v>
      </c>
      <c r="J6" s="78">
        <f t="shared" si="11"/>
        <v>2.454545454545455</v>
      </c>
      <c r="K6" s="80">
        <f t="shared" si="12"/>
        <v>1755.9259259259256</v>
      </c>
      <c r="L6" s="87">
        <v>0.33</v>
      </c>
      <c r="M6" s="78">
        <v>4.5</v>
      </c>
      <c r="N6" s="89">
        <f t="shared" si="13"/>
        <v>13.636363636363635</v>
      </c>
    </row>
    <row r="7" spans="1:18">
      <c r="A7" s="93" t="s">
        <v>765</v>
      </c>
      <c r="B7" s="79">
        <v>0.14000000000000001</v>
      </c>
      <c r="C7" s="9">
        <v>13200</v>
      </c>
      <c r="D7" s="78">
        <f t="shared" si="7"/>
        <v>0.50400000000000011</v>
      </c>
      <c r="E7" s="78">
        <f t="shared" si="8"/>
        <v>3.996</v>
      </c>
      <c r="F7" s="80">
        <f t="shared" si="9"/>
        <v>3303.3033033033034</v>
      </c>
      <c r="G7" s="87">
        <v>0.42</v>
      </c>
      <c r="H7" s="11">
        <v>9890</v>
      </c>
      <c r="I7" s="78">
        <f t="shared" si="10"/>
        <v>1.512</v>
      </c>
      <c r="J7" s="78">
        <f t="shared" si="11"/>
        <v>2.988</v>
      </c>
      <c r="K7" s="80">
        <f t="shared" si="12"/>
        <v>3309.9062918340028</v>
      </c>
      <c r="L7" s="87">
        <v>1.25</v>
      </c>
      <c r="M7" s="78">
        <v>4.5</v>
      </c>
      <c r="N7" s="89">
        <f t="shared" si="13"/>
        <v>3.6</v>
      </c>
      <c r="O7"/>
    </row>
    <row r="8" spans="1:18">
      <c r="A8" s="93"/>
      <c r="B8" s="79">
        <v>0.17</v>
      </c>
      <c r="C8" s="9">
        <v>9896</v>
      </c>
      <c r="D8" s="78">
        <f t="shared" si="7"/>
        <v>0.43965517241379315</v>
      </c>
      <c r="E8" s="78">
        <f t="shared" si="8"/>
        <v>2.5603448275862069</v>
      </c>
      <c r="F8" s="80">
        <f t="shared" si="9"/>
        <v>3865.1043771043774</v>
      </c>
      <c r="G8" s="87">
        <v>0.45</v>
      </c>
      <c r="H8" s="11">
        <v>7100</v>
      </c>
      <c r="I8" s="78">
        <f t="shared" si="10"/>
        <v>1.163793103448276</v>
      </c>
      <c r="J8" s="78">
        <f t="shared" si="11"/>
        <v>1.836206896551724</v>
      </c>
      <c r="K8" s="80">
        <f t="shared" si="12"/>
        <v>3866.666666666667</v>
      </c>
      <c r="L8" s="87">
        <v>1.1599999999999999</v>
      </c>
      <c r="M8" s="78">
        <v>3</v>
      </c>
      <c r="N8" s="89">
        <f t="shared" si="13"/>
        <v>2.5862068965517242</v>
      </c>
      <c r="O8" s="6" t="s">
        <v>769</v>
      </c>
    </row>
    <row r="9" spans="1:18">
      <c r="A9" s="93" t="s">
        <v>766</v>
      </c>
      <c r="B9" s="79">
        <v>0.14000000000000001</v>
      </c>
      <c r="C9" s="9">
        <v>12400</v>
      </c>
      <c r="D9" s="78">
        <f t="shared" ref="D9:D47" si="14">B9*N9</f>
        <v>0.52830188679245282</v>
      </c>
      <c r="E9" s="78">
        <f t="shared" ref="E9:E47" si="15">M9-D9</f>
        <v>5.4716981132075473</v>
      </c>
      <c r="F9" s="80">
        <f t="shared" ref="F9:F47" si="16">C9/E9</f>
        <v>2266.2068965517242</v>
      </c>
      <c r="G9" s="87">
        <v>0.47</v>
      </c>
      <c r="H9" s="11">
        <v>9560</v>
      </c>
      <c r="I9" s="78">
        <f t="shared" ref="I9:I47" si="17">G9*N9</f>
        <v>1.773584905660377</v>
      </c>
      <c r="J9" s="78">
        <f t="shared" ref="J9:J47" si="18">M9-I9</f>
        <v>4.2264150943396235</v>
      </c>
      <c r="K9" s="80">
        <f t="shared" ref="K9:K47" si="19">H9/J9</f>
        <v>2261.9642857142853</v>
      </c>
      <c r="L9" s="87">
        <v>1.59</v>
      </c>
      <c r="M9" s="78">
        <v>6</v>
      </c>
      <c r="N9" s="89">
        <f t="shared" ref="N9:N47" si="20">M9/L9</f>
        <v>3.773584905660377</v>
      </c>
    </row>
    <row r="10" spans="1:18" s="71" customFormat="1">
      <c r="A10" s="94" t="s">
        <v>387</v>
      </c>
      <c r="B10" s="81">
        <v>0.21</v>
      </c>
      <c r="C10" s="75">
        <v>8100</v>
      </c>
      <c r="D10" s="76">
        <f t="shared" si="14"/>
        <v>0.15</v>
      </c>
      <c r="E10" s="76">
        <f t="shared" si="15"/>
        <v>1.35</v>
      </c>
      <c r="F10" s="82">
        <f t="shared" si="16"/>
        <v>6000</v>
      </c>
      <c r="G10" s="86">
        <v>0.66</v>
      </c>
      <c r="H10" s="77">
        <v>6150</v>
      </c>
      <c r="I10" s="76">
        <f t="shared" si="17"/>
        <v>0.47142857142857147</v>
      </c>
      <c r="J10" s="76">
        <f t="shared" si="18"/>
        <v>1.0285714285714285</v>
      </c>
      <c r="K10" s="82">
        <f t="shared" si="19"/>
        <v>5979.166666666667</v>
      </c>
      <c r="L10" s="86">
        <v>2.1</v>
      </c>
      <c r="M10" s="76">
        <v>1.5</v>
      </c>
      <c r="N10" s="90">
        <f t="shared" si="20"/>
        <v>0.7142857142857143</v>
      </c>
      <c r="O10" s="73" t="s">
        <v>509</v>
      </c>
      <c r="P10" s="72"/>
      <c r="Q10" s="74"/>
      <c r="R10" s="74"/>
    </row>
    <row r="11" spans="1:18">
      <c r="A11" s="93"/>
      <c r="B11" s="79">
        <v>0.3</v>
      </c>
      <c r="C11" s="9">
        <v>14800</v>
      </c>
      <c r="D11" s="78">
        <f>B11*N11</f>
        <v>0.21428571428571427</v>
      </c>
      <c r="E11" s="78">
        <f>M11-D11</f>
        <v>2.7857142857142856</v>
      </c>
      <c r="F11" s="80">
        <f>C11/E11</f>
        <v>5312.8205128205127</v>
      </c>
      <c r="G11" s="87">
        <v>1.05</v>
      </c>
      <c r="H11" s="11">
        <v>11500</v>
      </c>
      <c r="I11" s="78">
        <f>G11*N11</f>
        <v>0.75</v>
      </c>
      <c r="J11" s="78">
        <f>M11-I11</f>
        <v>2.25</v>
      </c>
      <c r="K11" s="80">
        <f>H11/J11</f>
        <v>5111.1111111111113</v>
      </c>
      <c r="L11" s="87">
        <v>4.2</v>
      </c>
      <c r="M11" s="78">
        <v>3</v>
      </c>
      <c r="N11" s="89">
        <f>M11/L11</f>
        <v>0.7142857142857143</v>
      </c>
      <c r="O11" s="3" t="s">
        <v>516</v>
      </c>
    </row>
    <row r="12" spans="1:18">
      <c r="A12" s="93" t="s">
        <v>479</v>
      </c>
      <c r="B12" s="79">
        <v>0.13</v>
      </c>
      <c r="C12" s="9">
        <v>5700</v>
      </c>
      <c r="D12" s="78">
        <f t="shared" si="14"/>
        <v>0.1822429906542056</v>
      </c>
      <c r="E12" s="78">
        <f t="shared" si="15"/>
        <v>1.3177570093457944</v>
      </c>
      <c r="F12" s="80">
        <f t="shared" si="16"/>
        <v>4325.5319148936169</v>
      </c>
      <c r="G12" s="87">
        <v>0.37</v>
      </c>
      <c r="H12" s="11">
        <v>4230</v>
      </c>
      <c r="I12" s="78">
        <f t="shared" si="17"/>
        <v>0.51869158878504673</v>
      </c>
      <c r="J12" s="78">
        <f t="shared" si="18"/>
        <v>0.98130841121495327</v>
      </c>
      <c r="K12" s="80">
        <f t="shared" si="19"/>
        <v>4310.5714285714284</v>
      </c>
      <c r="L12" s="87">
        <v>1.07</v>
      </c>
      <c r="M12" s="78">
        <v>1.5</v>
      </c>
      <c r="N12" s="89">
        <f t="shared" si="20"/>
        <v>1.4018691588785046</v>
      </c>
    </row>
    <row r="13" spans="1:18">
      <c r="A13" s="93" t="s">
        <v>480</v>
      </c>
      <c r="B13" s="79">
        <v>0.05</v>
      </c>
      <c r="C13" s="9">
        <v>4800</v>
      </c>
      <c r="D13" s="78">
        <f t="shared" si="14"/>
        <v>0.38461538461538458</v>
      </c>
      <c r="E13" s="78">
        <f t="shared" si="15"/>
        <v>2.6153846153846154</v>
      </c>
      <c r="F13" s="80">
        <f t="shared" si="16"/>
        <v>1835.2941176470588</v>
      </c>
      <c r="G13" s="87">
        <v>0.14000000000000001</v>
      </c>
      <c r="H13" s="11">
        <v>3530</v>
      </c>
      <c r="I13" s="78">
        <f t="shared" si="17"/>
        <v>1.0769230769230769</v>
      </c>
      <c r="J13" s="78">
        <f t="shared" si="18"/>
        <v>1.9230769230769231</v>
      </c>
      <c r="K13" s="80">
        <f t="shared" si="19"/>
        <v>1835.6</v>
      </c>
      <c r="L13" s="87">
        <v>0.39</v>
      </c>
      <c r="M13" s="78">
        <v>3</v>
      </c>
      <c r="N13" s="89">
        <f t="shared" si="20"/>
        <v>7.6923076923076916</v>
      </c>
    </row>
    <row r="14" spans="1:18" s="71" customFormat="1">
      <c r="A14" s="94" t="s">
        <v>389</v>
      </c>
      <c r="B14" s="81">
        <v>0.16</v>
      </c>
      <c r="C14" s="75">
        <v>6300</v>
      </c>
      <c r="D14" s="76">
        <f>B14*N14</f>
        <v>9.375E-2</v>
      </c>
      <c r="E14" s="76">
        <f>M14-D14</f>
        <v>1.40625</v>
      </c>
      <c r="F14" s="82">
        <f>C14/E14</f>
        <v>4480</v>
      </c>
      <c r="G14" s="86">
        <v>0.64</v>
      </c>
      <c r="H14" s="77">
        <v>5040</v>
      </c>
      <c r="I14" s="76">
        <f>G14*N14</f>
        <v>0.375</v>
      </c>
      <c r="J14" s="76">
        <f>M14-I14</f>
        <v>1.125</v>
      </c>
      <c r="K14" s="82">
        <f>H14/J14</f>
        <v>4480</v>
      </c>
      <c r="L14" s="86">
        <v>2.56</v>
      </c>
      <c r="M14" s="76">
        <v>1.5</v>
      </c>
      <c r="N14" s="90">
        <f>M14/L14</f>
        <v>0.5859375</v>
      </c>
      <c r="O14" s="73" t="s">
        <v>510</v>
      </c>
      <c r="P14" s="73" t="s">
        <v>522</v>
      </c>
      <c r="Q14" s="72" t="s">
        <v>513</v>
      </c>
      <c r="R14" s="72" t="s">
        <v>514</v>
      </c>
    </row>
    <row r="15" spans="1:18">
      <c r="A15" s="93" t="s">
        <v>476</v>
      </c>
      <c r="B15" s="79">
        <v>9.5000000000000001E-2</v>
      </c>
      <c r="C15" s="9">
        <v>6900</v>
      </c>
      <c r="D15" s="78">
        <f>B15*N15</f>
        <v>0.20357142857142857</v>
      </c>
      <c r="E15" s="78">
        <f>M15-D15</f>
        <v>2.7964285714285713</v>
      </c>
      <c r="F15" s="80">
        <f>C15/E15</f>
        <v>2467.4329501915709</v>
      </c>
      <c r="G15" s="87">
        <v>0.36</v>
      </c>
      <c r="H15" s="11">
        <v>5470</v>
      </c>
      <c r="I15" s="78">
        <f>G15*N15</f>
        <v>0.77142857142857135</v>
      </c>
      <c r="J15" s="78">
        <f>M15-I15</f>
        <v>2.2285714285714286</v>
      </c>
      <c r="K15" s="80">
        <f>H15/J15</f>
        <v>2454.4871794871792</v>
      </c>
      <c r="L15" s="87">
        <v>1.4</v>
      </c>
      <c r="M15" s="78">
        <v>3</v>
      </c>
      <c r="N15" s="89">
        <f>M15/L15</f>
        <v>2.1428571428571428</v>
      </c>
    </row>
    <row r="16" spans="1:18">
      <c r="A16" s="93" t="s">
        <v>475</v>
      </c>
      <c r="B16" s="79">
        <v>0.15</v>
      </c>
      <c r="C16" s="9">
        <v>9400</v>
      </c>
      <c r="D16" s="78">
        <f t="shared" ref="D16" si="21">B16*N16</f>
        <v>0.16666666666666663</v>
      </c>
      <c r="E16" s="78">
        <f t="shared" ref="E16" si="22">M16-D16</f>
        <v>2.8333333333333335</v>
      </c>
      <c r="F16" s="80">
        <f t="shared" ref="F16" si="23">C16/E16</f>
        <v>3317.6470588235293</v>
      </c>
      <c r="G16" s="87">
        <v>0.64</v>
      </c>
      <c r="H16" s="11">
        <v>7610</v>
      </c>
      <c r="I16" s="78">
        <f t="shared" ref="I16" si="24">G16*N16</f>
        <v>0.71111111111111103</v>
      </c>
      <c r="J16" s="78">
        <f t="shared" ref="J16" si="25">M16-I16</f>
        <v>2.2888888888888888</v>
      </c>
      <c r="K16" s="80">
        <f t="shared" ref="K16" si="26">H16/J16</f>
        <v>3324.7572815533981</v>
      </c>
      <c r="L16" s="87">
        <v>2.7</v>
      </c>
      <c r="M16" s="78">
        <v>3</v>
      </c>
      <c r="N16" s="89">
        <f t="shared" si="20"/>
        <v>1.1111111111111109</v>
      </c>
      <c r="O16" s="3"/>
    </row>
    <row r="17" spans="1:18" s="71" customFormat="1">
      <c r="A17" s="94" t="s">
        <v>495</v>
      </c>
      <c r="B17" s="81">
        <v>0.14000000000000001</v>
      </c>
      <c r="C17" s="75">
        <v>9800</v>
      </c>
      <c r="D17" s="76">
        <f>B17*N17</f>
        <v>0.31500000000000006</v>
      </c>
      <c r="E17" s="76">
        <f>M17-D17</f>
        <v>4.1849999999999996</v>
      </c>
      <c r="F17" s="82">
        <f>C17/E17</f>
        <v>2341.6965352449224</v>
      </c>
      <c r="G17" s="86">
        <v>0.53</v>
      </c>
      <c r="H17" s="77">
        <v>7750</v>
      </c>
      <c r="I17" s="76">
        <f>G17*N17</f>
        <v>1.1925000000000001</v>
      </c>
      <c r="J17" s="76">
        <f>M17-I17</f>
        <v>3.3075000000000001</v>
      </c>
      <c r="K17" s="82">
        <f>H17/J17</f>
        <v>2343.1594860166288</v>
      </c>
      <c r="L17" s="86">
        <v>2</v>
      </c>
      <c r="M17" s="76">
        <v>4.5</v>
      </c>
      <c r="N17" s="90">
        <f>M17/L17</f>
        <v>2.25</v>
      </c>
      <c r="O17" s="73"/>
      <c r="P17" s="72"/>
      <c r="Q17" s="74"/>
      <c r="R17" s="74"/>
    </row>
    <row r="18" spans="1:18">
      <c r="A18" s="93" t="s">
        <v>496</v>
      </c>
      <c r="B18" s="79">
        <v>0.3</v>
      </c>
      <c r="C18" s="9">
        <v>18500</v>
      </c>
      <c r="D18" s="78">
        <f>B18*N18</f>
        <v>0.19852941176470587</v>
      </c>
      <c r="E18" s="78">
        <f>M18-D18</f>
        <v>4.3014705882352944</v>
      </c>
      <c r="F18" s="80">
        <f>C18/E18</f>
        <v>4300.8547008547002</v>
      </c>
      <c r="G18" s="87">
        <v>1.43</v>
      </c>
      <c r="H18" s="11">
        <v>15290</v>
      </c>
      <c r="I18" s="78">
        <f>G18*N18</f>
        <v>0.94632352941176467</v>
      </c>
      <c r="J18" s="78">
        <f>M18-I18</f>
        <v>3.5536764705882353</v>
      </c>
      <c r="K18" s="80">
        <f>H18/J18</f>
        <v>4302.5863852679495</v>
      </c>
      <c r="L18" s="87">
        <v>6.8</v>
      </c>
      <c r="M18" s="78">
        <v>4.5</v>
      </c>
      <c r="N18" s="89">
        <f>M18/L18</f>
        <v>0.66176470588235292</v>
      </c>
      <c r="O18" s="8" t="s">
        <v>515</v>
      </c>
    </row>
    <row r="19" spans="1:18" s="71" customFormat="1">
      <c r="A19" s="94" t="s">
        <v>497</v>
      </c>
      <c r="B19" s="81">
        <v>0.24</v>
      </c>
      <c r="C19" s="75">
        <v>13700</v>
      </c>
      <c r="D19" s="76">
        <f>B19*N19</f>
        <v>0.16119402985074624</v>
      </c>
      <c r="E19" s="76">
        <f>M19-D19</f>
        <v>4.3388059701492541</v>
      </c>
      <c r="F19" s="82">
        <f>C19/E19</f>
        <v>3157.5507395940831</v>
      </c>
      <c r="G19" s="86">
        <v>1.27</v>
      </c>
      <c r="H19" s="77">
        <v>11520</v>
      </c>
      <c r="I19" s="76">
        <f>G19*N19</f>
        <v>0.85298507462686557</v>
      </c>
      <c r="J19" s="76">
        <f>M19-I19</f>
        <v>3.6470149253731345</v>
      </c>
      <c r="K19" s="82">
        <f>H19/J19</f>
        <v>3158.7476979742173</v>
      </c>
      <c r="L19" s="86">
        <v>6.7</v>
      </c>
      <c r="M19" s="76">
        <v>4.5</v>
      </c>
      <c r="N19" s="90">
        <f>M19/L19</f>
        <v>0.67164179104477606</v>
      </c>
      <c r="O19" s="73"/>
      <c r="P19" s="72"/>
      <c r="Q19" s="74"/>
      <c r="R19" s="74"/>
    </row>
    <row r="20" spans="1:18">
      <c r="A20" s="93" t="s">
        <v>498</v>
      </c>
      <c r="B20" s="79">
        <v>0.2</v>
      </c>
      <c r="C20" s="9">
        <v>10200</v>
      </c>
      <c r="D20" s="78">
        <f t="shared" ref="D20" si="27">B20*N20</f>
        <v>0.23684210526315794</v>
      </c>
      <c r="E20" s="78">
        <f t="shared" ref="E20" si="28">M20-D20</f>
        <v>4.2631578947368425</v>
      </c>
      <c r="F20" s="80">
        <f t="shared" ref="F20" si="29">C20/E20</f>
        <v>2392.5925925925926</v>
      </c>
      <c r="G20" s="87">
        <v>0.87</v>
      </c>
      <c r="H20" s="11">
        <v>8300</v>
      </c>
      <c r="I20" s="78">
        <f t="shared" ref="I20" si="30">G20*N20</f>
        <v>1.030263157894737</v>
      </c>
      <c r="J20" s="78">
        <f t="shared" ref="J20" si="31">M20-I20</f>
        <v>3.469736842105263</v>
      </c>
      <c r="K20" s="80">
        <f t="shared" ref="K20" si="32">H20/J20</f>
        <v>2392.1122487675389</v>
      </c>
      <c r="L20" s="87">
        <v>3.8</v>
      </c>
      <c r="M20" s="78">
        <v>4.5</v>
      </c>
      <c r="N20" s="89">
        <f t="shared" ref="N20" si="33">M20/L20</f>
        <v>1.1842105263157896</v>
      </c>
      <c r="O20" s="3"/>
    </row>
    <row r="21" spans="1:18" s="71" customFormat="1">
      <c r="A21" s="94" t="s">
        <v>500</v>
      </c>
      <c r="B21" s="81">
        <v>0.04</v>
      </c>
      <c r="C21" s="75">
        <v>7800</v>
      </c>
      <c r="D21" s="76">
        <f>B21*N21</f>
        <v>1.4545454545454544</v>
      </c>
      <c r="E21" s="76">
        <f>M21-D21</f>
        <v>10.545454545454545</v>
      </c>
      <c r="F21" s="82">
        <f>C21/E21</f>
        <v>739.65517241379314</v>
      </c>
      <c r="G21" s="86">
        <v>0.11</v>
      </c>
      <c r="H21" s="77">
        <v>5790</v>
      </c>
      <c r="I21" s="76">
        <f>G21*N21</f>
        <v>3.9999999999999996</v>
      </c>
      <c r="J21" s="76">
        <f>M21-I21</f>
        <v>8</v>
      </c>
      <c r="K21" s="82">
        <f>H21/J21</f>
        <v>723.75</v>
      </c>
      <c r="L21" s="86">
        <v>0.33</v>
      </c>
      <c r="M21" s="76">
        <v>12</v>
      </c>
      <c r="N21" s="90">
        <f>M21/L21</f>
        <v>36.36363636363636</v>
      </c>
      <c r="O21" s="73"/>
      <c r="P21" s="72"/>
      <c r="Q21" s="74"/>
      <c r="R21" s="74"/>
    </row>
    <row r="22" spans="1:18">
      <c r="A22" s="93" t="s">
        <v>499</v>
      </c>
      <c r="B22" s="79">
        <v>0.13</v>
      </c>
      <c r="C22" s="9">
        <v>13400</v>
      </c>
      <c r="D22" s="78">
        <f>B22*N22</f>
        <v>0.30588235294117649</v>
      </c>
      <c r="E22" s="78">
        <f>M22-D22</f>
        <v>5.6941176470588237</v>
      </c>
      <c r="F22" s="80">
        <f>C22/E22</f>
        <v>2353.3057851239669</v>
      </c>
      <c r="G22" s="87">
        <v>0.57999999999999996</v>
      </c>
      <c r="H22" s="11">
        <v>10930</v>
      </c>
      <c r="I22" s="78">
        <f>G22*N22</f>
        <v>1.3647058823529412</v>
      </c>
      <c r="J22" s="78">
        <f>M22-I22</f>
        <v>4.6352941176470583</v>
      </c>
      <c r="K22" s="80">
        <f>H22/J22</f>
        <v>2357.9949238578683</v>
      </c>
      <c r="L22" s="87">
        <v>2.5499999999999998</v>
      </c>
      <c r="M22" s="78">
        <v>6</v>
      </c>
      <c r="N22" s="89">
        <f>M22/L22</f>
        <v>2.3529411764705883</v>
      </c>
    </row>
    <row r="23" spans="1:18" s="71" customFormat="1">
      <c r="A23" s="94" t="s">
        <v>390</v>
      </c>
      <c r="B23" s="81">
        <v>0.16</v>
      </c>
      <c r="C23" s="75">
        <v>9200</v>
      </c>
      <c r="D23" s="76">
        <f t="shared" si="14"/>
        <v>0.10212765957446808</v>
      </c>
      <c r="E23" s="76">
        <f t="shared" si="15"/>
        <v>2.8978723404255318</v>
      </c>
      <c r="F23" s="82">
        <f t="shared" si="16"/>
        <v>3174.7430249632894</v>
      </c>
      <c r="G23" s="86">
        <v>0.87</v>
      </c>
      <c r="H23" s="77">
        <v>7770</v>
      </c>
      <c r="I23" s="76">
        <f t="shared" si="17"/>
        <v>0.55531914893617018</v>
      </c>
      <c r="J23" s="76">
        <f t="shared" si="18"/>
        <v>2.44468085106383</v>
      </c>
      <c r="K23" s="82">
        <f t="shared" si="19"/>
        <v>3178.3289817232371</v>
      </c>
      <c r="L23" s="86">
        <v>4.7</v>
      </c>
      <c r="M23" s="76">
        <v>3</v>
      </c>
      <c r="N23" s="90">
        <f t="shared" si="20"/>
        <v>0.63829787234042545</v>
      </c>
      <c r="O23" s="73" t="s">
        <v>511</v>
      </c>
      <c r="P23" s="72" t="s">
        <v>521</v>
      </c>
      <c r="Q23" s="74"/>
      <c r="R23" s="74"/>
    </row>
    <row r="24" spans="1:18">
      <c r="A24" s="93"/>
      <c r="B24" s="79">
        <v>0.155</v>
      </c>
      <c r="C24" s="9">
        <v>9200</v>
      </c>
      <c r="D24" s="78">
        <f t="shared" ref="D24" si="34">B24*N24</f>
        <v>9.8472243230978668E-2</v>
      </c>
      <c r="E24" s="78">
        <f t="shared" ref="E24" si="35">M24-D24</f>
        <v>2.9015277567690214</v>
      </c>
      <c r="F24" s="80">
        <f t="shared" ref="F24" si="36">C24/E24</f>
        <v>3170.7434052757794</v>
      </c>
      <c r="G24" s="87">
        <v>0.85</v>
      </c>
      <c r="H24" s="11">
        <v>7800</v>
      </c>
      <c r="I24" s="78">
        <f t="shared" ref="I24" si="37">G24*N24</f>
        <v>0.54000907578278623</v>
      </c>
      <c r="J24" s="78">
        <f t="shared" ref="J24" si="38">M24-I24</f>
        <v>2.4599909242172138</v>
      </c>
      <c r="K24" s="80">
        <f t="shared" ref="K24" si="39">H24/J24</f>
        <v>3170.7434052757794</v>
      </c>
      <c r="L24" s="113">
        <f>C24*(G24-B24)/(C24-H24)+B24</f>
        <v>4.722142857142857</v>
      </c>
      <c r="M24" s="78">
        <v>3</v>
      </c>
      <c r="N24" s="89">
        <f t="shared" ref="N24" si="40">M24/L24</f>
        <v>0.63530479503857207</v>
      </c>
      <c r="O24" s="6" t="s">
        <v>517</v>
      </c>
    </row>
    <row r="25" spans="1:18">
      <c r="A25" s="93" t="s">
        <v>391</v>
      </c>
      <c r="B25" s="79">
        <v>0.08</v>
      </c>
      <c r="C25" s="9">
        <v>7500</v>
      </c>
      <c r="D25" s="78">
        <f t="shared" si="14"/>
        <v>0.16289592760180996</v>
      </c>
      <c r="E25" s="78">
        <f t="shared" si="15"/>
        <v>4.3371040723981897</v>
      </c>
      <c r="F25" s="80">
        <f t="shared" si="16"/>
        <v>1729.2644757433491</v>
      </c>
      <c r="G25" s="87">
        <v>0.42</v>
      </c>
      <c r="H25" s="11">
        <v>6300</v>
      </c>
      <c r="I25" s="78">
        <f t="shared" si="17"/>
        <v>0.85520361990950222</v>
      </c>
      <c r="J25" s="78">
        <f t="shared" si="18"/>
        <v>3.6447963800904977</v>
      </c>
      <c r="K25" s="80">
        <f t="shared" si="19"/>
        <v>1728.4916201117319</v>
      </c>
      <c r="L25" s="87">
        <v>2.21</v>
      </c>
      <c r="M25" s="78">
        <v>4.5</v>
      </c>
      <c r="N25" s="89">
        <f t="shared" si="20"/>
        <v>2.0361990950226243</v>
      </c>
    </row>
    <row r="26" spans="1:18">
      <c r="A26" s="93"/>
      <c r="B26" s="79">
        <v>0.1</v>
      </c>
      <c r="C26" s="9">
        <v>7400</v>
      </c>
      <c r="D26" s="78">
        <f t="shared" ref="D26" si="41">B26*N26</f>
        <v>0.21844660194174759</v>
      </c>
      <c r="E26" s="78">
        <f t="shared" ref="E26" si="42">M26-D26</f>
        <v>4.2815533980582527</v>
      </c>
      <c r="F26" s="80">
        <f t="shared" ref="F26" si="43">C26/E26</f>
        <v>1728.344671201814</v>
      </c>
      <c r="G26" s="87">
        <v>0.45</v>
      </c>
      <c r="H26" s="11">
        <v>6060</v>
      </c>
      <c r="I26" s="78">
        <f t="shared" ref="I26" si="44">G26*N26</f>
        <v>0.98300970873786409</v>
      </c>
      <c r="J26" s="78">
        <f t="shared" ref="J26" si="45">M26-I26</f>
        <v>3.516990291262136</v>
      </c>
      <c r="K26" s="80">
        <f t="shared" ref="K26" si="46">H26/J26</f>
        <v>1723.0641821946169</v>
      </c>
      <c r="L26" s="87">
        <v>2.06</v>
      </c>
      <c r="M26" s="78">
        <v>4.5</v>
      </c>
      <c r="N26" s="89">
        <f t="shared" ref="N26" si="47">M26/L26</f>
        <v>2.1844660194174756</v>
      </c>
      <c r="O26" s="6" t="s">
        <v>519</v>
      </c>
    </row>
    <row r="27" spans="1:18">
      <c r="A27" s="93"/>
      <c r="B27" s="79">
        <v>0.1</v>
      </c>
      <c r="C27" s="9">
        <v>8400</v>
      </c>
      <c r="D27" s="78">
        <f t="shared" ref="D27" si="48">B27*N27</f>
        <v>1.3333333333333335</v>
      </c>
      <c r="E27" s="78">
        <f t="shared" ref="E27" si="49">M27-D27</f>
        <v>10.666666666666666</v>
      </c>
      <c r="F27" s="80">
        <f t="shared" ref="F27" si="50">C27/E27</f>
        <v>787.5</v>
      </c>
      <c r="G27" s="87">
        <v>0.3</v>
      </c>
      <c r="H27" s="11">
        <v>6300</v>
      </c>
      <c r="I27" s="78">
        <f t="shared" ref="I27" si="51">G27*N27</f>
        <v>4</v>
      </c>
      <c r="J27" s="78">
        <f t="shared" ref="J27" si="52">M27-I27</f>
        <v>8</v>
      </c>
      <c r="K27" s="80">
        <f t="shared" ref="K27" si="53">H27/J27</f>
        <v>787.5</v>
      </c>
      <c r="L27" s="113">
        <f>C27*(G27-B27)/(C27-H27)+B27</f>
        <v>0.89999999999999991</v>
      </c>
      <c r="M27" s="78">
        <v>12</v>
      </c>
      <c r="N27" s="89">
        <f t="shared" ref="N27" si="54">M27/L27</f>
        <v>13.333333333333334</v>
      </c>
      <c r="O27" s="6" t="s">
        <v>518</v>
      </c>
    </row>
    <row r="28" spans="1:18">
      <c r="A28" s="93" t="s">
        <v>481</v>
      </c>
      <c r="B28" s="79">
        <v>0.12</v>
      </c>
      <c r="C28" s="9">
        <v>7000</v>
      </c>
      <c r="D28" s="78">
        <f t="shared" si="14"/>
        <v>0.12857142857142856</v>
      </c>
      <c r="E28" s="78">
        <f t="shared" si="15"/>
        <v>2.8714285714285714</v>
      </c>
      <c r="F28" s="80">
        <f t="shared" si="16"/>
        <v>2437.8109452736317</v>
      </c>
      <c r="G28" s="87">
        <v>0.57999999999999996</v>
      </c>
      <c r="H28" s="11">
        <v>5800</v>
      </c>
      <c r="I28" s="78">
        <f t="shared" si="17"/>
        <v>0.62142857142857133</v>
      </c>
      <c r="J28" s="78">
        <f t="shared" si="18"/>
        <v>2.3785714285714286</v>
      </c>
      <c r="K28" s="80">
        <f t="shared" si="19"/>
        <v>2438.4384384384384</v>
      </c>
      <c r="L28" s="87">
        <v>2.8</v>
      </c>
      <c r="M28" s="78">
        <v>3</v>
      </c>
      <c r="N28" s="89">
        <f t="shared" si="20"/>
        <v>1.0714285714285714</v>
      </c>
    </row>
    <row r="29" spans="1:18" s="71" customFormat="1">
      <c r="A29" s="94" t="s">
        <v>482</v>
      </c>
      <c r="B29" s="81">
        <v>0.16</v>
      </c>
      <c r="C29" s="75">
        <v>7100</v>
      </c>
      <c r="D29" s="76">
        <f t="shared" si="14"/>
        <v>0.1</v>
      </c>
      <c r="E29" s="76">
        <f t="shared" si="15"/>
        <v>2.9</v>
      </c>
      <c r="F29" s="82">
        <f t="shared" si="16"/>
        <v>2448.2758620689656</v>
      </c>
      <c r="G29" s="86">
        <v>0.88</v>
      </c>
      <c r="H29" s="77">
        <v>6000</v>
      </c>
      <c r="I29" s="76">
        <f t="shared" si="17"/>
        <v>0.55000000000000004</v>
      </c>
      <c r="J29" s="76">
        <f t="shared" si="18"/>
        <v>2.4500000000000002</v>
      </c>
      <c r="K29" s="82">
        <f t="shared" si="19"/>
        <v>2448.9795918367345</v>
      </c>
      <c r="L29" s="86">
        <v>4.8</v>
      </c>
      <c r="M29" s="76">
        <v>3</v>
      </c>
      <c r="N29" s="90">
        <f t="shared" si="20"/>
        <v>0.625</v>
      </c>
      <c r="O29" s="73"/>
      <c r="P29" s="72"/>
      <c r="Q29" s="74"/>
      <c r="R29" s="74"/>
    </row>
    <row r="30" spans="1:18">
      <c r="A30" s="93" t="s">
        <v>483</v>
      </c>
      <c r="B30" s="79">
        <v>0.08</v>
      </c>
      <c r="C30" s="9">
        <v>5800</v>
      </c>
      <c r="D30" s="78">
        <f t="shared" si="14"/>
        <v>0.15384615384615385</v>
      </c>
      <c r="E30" s="78">
        <f t="shared" si="15"/>
        <v>4.3461538461538458</v>
      </c>
      <c r="F30" s="80">
        <f t="shared" si="16"/>
        <v>1334.5132743362833</v>
      </c>
      <c r="G30" s="87">
        <v>0.43</v>
      </c>
      <c r="H30" s="11">
        <v>4890</v>
      </c>
      <c r="I30" s="78">
        <f t="shared" si="17"/>
        <v>0.82692307692307698</v>
      </c>
      <c r="J30" s="78">
        <f t="shared" si="18"/>
        <v>3.6730769230769229</v>
      </c>
      <c r="K30" s="80">
        <f t="shared" si="19"/>
        <v>1331.3089005235602</v>
      </c>
      <c r="L30" s="87">
        <v>2.34</v>
      </c>
      <c r="M30" s="78">
        <v>4.5</v>
      </c>
      <c r="N30" s="89">
        <f t="shared" si="20"/>
        <v>1.9230769230769231</v>
      </c>
    </row>
    <row r="31" spans="1:18">
      <c r="A31" s="93" t="s">
        <v>484</v>
      </c>
      <c r="B31" s="79">
        <v>0.13</v>
      </c>
      <c r="C31" s="9">
        <v>8100</v>
      </c>
      <c r="D31" s="78">
        <f t="shared" si="14"/>
        <v>0.14268292682926831</v>
      </c>
      <c r="E31" s="78">
        <f t="shared" si="15"/>
        <v>4.3573170731707318</v>
      </c>
      <c r="F31" s="80">
        <f t="shared" si="16"/>
        <v>1858.9420654911839</v>
      </c>
      <c r="G31" s="87">
        <v>0.73</v>
      </c>
      <c r="H31" s="11">
        <v>6880</v>
      </c>
      <c r="I31" s="78">
        <f t="shared" si="17"/>
        <v>0.801219512195122</v>
      </c>
      <c r="J31" s="78">
        <f t="shared" si="18"/>
        <v>3.698780487804878</v>
      </c>
      <c r="K31" s="80">
        <f t="shared" si="19"/>
        <v>1860.0725354434553</v>
      </c>
      <c r="L31" s="87">
        <v>4.0999999999999996</v>
      </c>
      <c r="M31" s="78">
        <v>4.5</v>
      </c>
      <c r="N31" s="89">
        <f t="shared" si="20"/>
        <v>1.0975609756097562</v>
      </c>
    </row>
    <row r="32" spans="1:18">
      <c r="A32" s="93" t="s">
        <v>485</v>
      </c>
      <c r="B32" s="79">
        <v>0.14000000000000001</v>
      </c>
      <c r="C32" s="9">
        <v>9600</v>
      </c>
      <c r="D32" s="78">
        <f t="shared" si="14"/>
        <v>0.19090909090909092</v>
      </c>
      <c r="E32" s="78">
        <f t="shared" si="15"/>
        <v>5.8090909090909086</v>
      </c>
      <c r="F32" s="80">
        <f t="shared" si="16"/>
        <v>1652.5821596244132</v>
      </c>
      <c r="G32" s="87">
        <v>0.78</v>
      </c>
      <c r="H32" s="11">
        <v>8150</v>
      </c>
      <c r="I32" s="78">
        <f t="shared" si="17"/>
        <v>1.0636363636363635</v>
      </c>
      <c r="J32" s="78">
        <f t="shared" si="18"/>
        <v>4.9363636363636365</v>
      </c>
      <c r="K32" s="80">
        <f t="shared" si="19"/>
        <v>1651.012891344383</v>
      </c>
      <c r="L32" s="87">
        <v>4.4000000000000004</v>
      </c>
      <c r="M32" s="78">
        <v>6</v>
      </c>
      <c r="N32" s="89">
        <f t="shared" si="20"/>
        <v>1.3636363636363635</v>
      </c>
    </row>
    <row r="33" spans="1:18" s="71" customFormat="1">
      <c r="A33" s="94" t="s">
        <v>501</v>
      </c>
      <c r="B33" s="81">
        <v>0.27</v>
      </c>
      <c r="C33" s="75">
        <v>13600</v>
      </c>
      <c r="D33" s="76">
        <f t="shared" ref="D33:D35" si="55">B33*N33</f>
        <v>0.17608695652173914</v>
      </c>
      <c r="E33" s="76">
        <f t="shared" ref="E33:E35" si="56">M33-D33</f>
        <v>4.3239130434782611</v>
      </c>
      <c r="F33" s="82">
        <f t="shared" ref="F33:F35" si="57">C33/E33</f>
        <v>3145.299145299145</v>
      </c>
      <c r="G33" s="86">
        <v>1.36</v>
      </c>
      <c r="H33" s="77">
        <v>11350</v>
      </c>
      <c r="I33" s="76">
        <f t="shared" ref="I33:I35" si="58">G33*N33</f>
        <v>0.88695652173913053</v>
      </c>
      <c r="J33" s="76">
        <f t="shared" ref="J33:J35" si="59">M33-I33</f>
        <v>3.6130434782608694</v>
      </c>
      <c r="K33" s="82">
        <f t="shared" ref="K33:K35" si="60">H33/J33</f>
        <v>3141.3959085439233</v>
      </c>
      <c r="L33" s="86">
        <v>6.9</v>
      </c>
      <c r="M33" s="76">
        <v>4.5</v>
      </c>
      <c r="N33" s="90">
        <f t="shared" ref="N33:N35" si="61">M33/L33</f>
        <v>0.65217391304347827</v>
      </c>
      <c r="O33" s="73"/>
      <c r="P33" s="72"/>
      <c r="Q33" s="74"/>
      <c r="R33" s="74"/>
    </row>
    <row r="34" spans="1:18">
      <c r="A34" s="93" t="s">
        <v>502</v>
      </c>
      <c r="B34" s="79">
        <v>0.12</v>
      </c>
      <c r="C34" s="9">
        <v>9900</v>
      </c>
      <c r="D34" s="78">
        <f t="shared" si="55"/>
        <v>0.25531914893617019</v>
      </c>
      <c r="E34" s="78">
        <f t="shared" si="56"/>
        <v>5.7446808510638299</v>
      </c>
      <c r="F34" s="80">
        <f t="shared" si="57"/>
        <v>1723.3333333333333</v>
      </c>
      <c r="G34" s="87">
        <v>0.57999999999999996</v>
      </c>
      <c r="H34" s="11">
        <v>8210</v>
      </c>
      <c r="I34" s="78">
        <f t="shared" si="58"/>
        <v>1.2340425531914891</v>
      </c>
      <c r="J34" s="78">
        <f t="shared" si="59"/>
        <v>4.7659574468085104</v>
      </c>
      <c r="K34" s="80">
        <f t="shared" si="60"/>
        <v>1722.6339285714287</v>
      </c>
      <c r="L34" s="87">
        <v>2.82</v>
      </c>
      <c r="M34" s="78">
        <v>6</v>
      </c>
      <c r="N34" s="89">
        <f t="shared" si="61"/>
        <v>2.1276595744680851</v>
      </c>
    </row>
    <row r="35" spans="1:18">
      <c r="A35" s="93" t="s">
        <v>503</v>
      </c>
      <c r="B35" s="79">
        <v>0.21</v>
      </c>
      <c r="C35" s="9">
        <v>16800</v>
      </c>
      <c r="D35" s="78">
        <f t="shared" si="55"/>
        <v>0.22909090909090912</v>
      </c>
      <c r="E35" s="78">
        <f t="shared" si="56"/>
        <v>6.9709090909090907</v>
      </c>
      <c r="F35" s="80">
        <f t="shared" si="57"/>
        <v>2410.0156494522694</v>
      </c>
      <c r="G35" s="87">
        <v>1.18</v>
      </c>
      <c r="H35" s="11">
        <v>14260</v>
      </c>
      <c r="I35" s="78">
        <f t="shared" si="58"/>
        <v>1.2872727272727273</v>
      </c>
      <c r="J35" s="78">
        <f t="shared" si="59"/>
        <v>5.9127272727272731</v>
      </c>
      <c r="K35" s="80">
        <f t="shared" si="60"/>
        <v>2411.7466174661745</v>
      </c>
      <c r="L35" s="87">
        <v>6.6</v>
      </c>
      <c r="M35" s="78">
        <v>7.2</v>
      </c>
      <c r="N35" s="89">
        <f t="shared" si="61"/>
        <v>1.0909090909090911</v>
      </c>
    </row>
    <row r="36" spans="1:18" s="71" customFormat="1">
      <c r="A36" s="94" t="s">
        <v>504</v>
      </c>
      <c r="B36" s="81">
        <v>0.28000000000000003</v>
      </c>
      <c r="C36" s="75">
        <v>14000</v>
      </c>
      <c r="D36" s="76">
        <f t="shared" ref="D36:D38" si="62">B36*N36</f>
        <v>0.18461538461538463</v>
      </c>
      <c r="E36" s="76">
        <f t="shared" ref="E36:E38" si="63">M36-D36</f>
        <v>5.8153846153846152</v>
      </c>
      <c r="F36" s="82">
        <f t="shared" ref="F36:F38" si="64">C36/E36</f>
        <v>2407.4074074074074</v>
      </c>
      <c r="G36" s="86">
        <v>1.6</v>
      </c>
      <c r="H36" s="77">
        <v>11910</v>
      </c>
      <c r="I36" s="76">
        <f t="shared" ref="I36:I38" si="65">G36*N36</f>
        <v>1.054945054945055</v>
      </c>
      <c r="J36" s="76">
        <f t="shared" ref="J36:J38" si="66">M36-I36</f>
        <v>4.9450549450549453</v>
      </c>
      <c r="K36" s="82">
        <f t="shared" ref="K36:K38" si="67">H36/J36</f>
        <v>2408.4666666666667</v>
      </c>
      <c r="L36" s="86">
        <v>9.1</v>
      </c>
      <c r="M36" s="76">
        <v>6</v>
      </c>
      <c r="N36" s="90">
        <f t="shared" ref="N36:N38" si="68">M36/L36</f>
        <v>0.65934065934065933</v>
      </c>
      <c r="O36" s="73"/>
      <c r="P36" s="72"/>
      <c r="Q36" s="74"/>
      <c r="R36" s="74"/>
    </row>
    <row r="37" spans="1:18">
      <c r="A37" s="93" t="s">
        <v>505</v>
      </c>
      <c r="B37" s="79">
        <v>0.15</v>
      </c>
      <c r="C37" s="9">
        <v>15500</v>
      </c>
      <c r="D37" s="78">
        <f t="shared" si="62"/>
        <v>0.3214285714285714</v>
      </c>
      <c r="E37" s="78">
        <f t="shared" si="63"/>
        <v>11.678571428571429</v>
      </c>
      <c r="F37" s="80">
        <f t="shared" si="64"/>
        <v>1327.217125382263</v>
      </c>
      <c r="G37" s="87">
        <v>0.92</v>
      </c>
      <c r="H37" s="11">
        <v>13320</v>
      </c>
      <c r="I37" s="78">
        <f t="shared" si="65"/>
        <v>1.9714285714285715</v>
      </c>
      <c r="J37" s="78">
        <f t="shared" si="66"/>
        <v>10.028571428571428</v>
      </c>
      <c r="K37" s="80">
        <f t="shared" si="67"/>
        <v>1328.2051282051282</v>
      </c>
      <c r="L37" s="87">
        <v>5.6</v>
      </c>
      <c r="M37" s="78">
        <v>12</v>
      </c>
      <c r="N37" s="89">
        <f t="shared" si="68"/>
        <v>2.1428571428571428</v>
      </c>
    </row>
    <row r="38" spans="1:18">
      <c r="A38" s="93" t="s">
        <v>506</v>
      </c>
      <c r="B38" s="79">
        <v>0.18</v>
      </c>
      <c r="C38" s="9">
        <v>10800</v>
      </c>
      <c r="D38" s="78">
        <f t="shared" si="62"/>
        <v>0.19999999999999996</v>
      </c>
      <c r="E38" s="78">
        <f t="shared" si="63"/>
        <v>5.8</v>
      </c>
      <c r="F38" s="80">
        <f t="shared" si="64"/>
        <v>1862.0689655172414</v>
      </c>
      <c r="G38" s="87">
        <v>0.99</v>
      </c>
      <c r="H38" s="11">
        <v>9130</v>
      </c>
      <c r="I38" s="78">
        <f t="shared" si="65"/>
        <v>1.0999999999999999</v>
      </c>
      <c r="J38" s="78">
        <f t="shared" si="66"/>
        <v>4.9000000000000004</v>
      </c>
      <c r="K38" s="80">
        <f t="shared" si="67"/>
        <v>1863.2653061224489</v>
      </c>
      <c r="L38" s="87">
        <v>5.4</v>
      </c>
      <c r="M38" s="78">
        <v>6</v>
      </c>
      <c r="N38" s="89">
        <f t="shared" si="68"/>
        <v>1.1111111111111109</v>
      </c>
    </row>
    <row r="39" spans="1:18">
      <c r="A39" s="93" t="s">
        <v>392</v>
      </c>
      <c r="B39" s="79">
        <v>8.7999999999999995E-2</v>
      </c>
      <c r="C39" s="9">
        <v>10385.700000000001</v>
      </c>
      <c r="D39" s="78">
        <f t="shared" si="14"/>
        <v>0.24905660377358488</v>
      </c>
      <c r="E39" s="78">
        <f t="shared" si="15"/>
        <v>2.7509433962264151</v>
      </c>
      <c r="F39" s="80">
        <f t="shared" si="16"/>
        <v>3775.3230452674898</v>
      </c>
      <c r="G39" s="87">
        <v>0.28000000000000003</v>
      </c>
      <c r="H39" s="11">
        <v>8250</v>
      </c>
      <c r="I39" s="78">
        <f t="shared" si="17"/>
        <v>0.79245283018867929</v>
      </c>
      <c r="J39" s="78">
        <f t="shared" si="18"/>
        <v>2.2075471698113205</v>
      </c>
      <c r="K39" s="80">
        <f t="shared" si="19"/>
        <v>3737.1794871794878</v>
      </c>
      <c r="L39" s="87">
        <v>1.06</v>
      </c>
      <c r="M39" s="78">
        <v>3</v>
      </c>
      <c r="N39" s="89">
        <f t="shared" si="20"/>
        <v>2.8301886792452828</v>
      </c>
    </row>
    <row r="40" spans="1:18">
      <c r="A40" s="93" t="s">
        <v>393</v>
      </c>
      <c r="B40" s="79">
        <v>8.1000000000000003E-2</v>
      </c>
      <c r="C40" s="9">
        <v>8146.4</v>
      </c>
      <c r="D40" s="78">
        <f t="shared" si="14"/>
        <v>0.44587155963302755</v>
      </c>
      <c r="E40" s="78">
        <f t="shared" si="15"/>
        <v>2.5541284403669726</v>
      </c>
      <c r="F40" s="80">
        <f t="shared" si="16"/>
        <v>3189.5028735632181</v>
      </c>
      <c r="G40" s="87">
        <v>0.107</v>
      </c>
      <c r="H40" s="11">
        <v>7795.1</v>
      </c>
      <c r="I40" s="78">
        <f t="shared" si="17"/>
        <v>0.58899082568807337</v>
      </c>
      <c r="J40" s="78">
        <f t="shared" si="18"/>
        <v>2.4110091743119266</v>
      </c>
      <c r="K40" s="80">
        <f t="shared" si="19"/>
        <v>3233.1274733637747</v>
      </c>
      <c r="L40" s="87">
        <v>0.54500000000000004</v>
      </c>
      <c r="M40" s="78">
        <v>3</v>
      </c>
      <c r="N40" s="89">
        <f t="shared" si="20"/>
        <v>5.5045871559633026</v>
      </c>
    </row>
    <row r="41" spans="1:18">
      <c r="A41" s="93" t="s">
        <v>394</v>
      </c>
      <c r="B41" s="79">
        <v>6.6000000000000003E-2</v>
      </c>
      <c r="C41" s="9">
        <v>13800</v>
      </c>
      <c r="D41" s="78">
        <f>B41*N41</f>
        <v>0.36263736263736268</v>
      </c>
      <c r="E41" s="78">
        <f>M41-D41</f>
        <v>4.6373626373626369</v>
      </c>
      <c r="F41" s="80">
        <f t="shared" ref="F41" si="69">C41/E41</f>
        <v>2975.8293838862564</v>
      </c>
      <c r="G41" s="87">
        <v>0.25</v>
      </c>
      <c r="H41" s="11">
        <v>10870</v>
      </c>
      <c r="I41" s="78">
        <f t="shared" ref="I41" si="70">G41*N41</f>
        <v>1.3736263736263736</v>
      </c>
      <c r="J41" s="78">
        <f t="shared" ref="J41" si="71">M41-I41</f>
        <v>3.6263736263736264</v>
      </c>
      <c r="K41" s="80">
        <f t="shared" ref="K41" si="72">H41/J41</f>
        <v>2997.4848484848485</v>
      </c>
      <c r="L41" s="87">
        <v>0.91</v>
      </c>
      <c r="M41" s="78">
        <v>5</v>
      </c>
      <c r="N41" s="89">
        <f>M41/L41</f>
        <v>5.4945054945054945</v>
      </c>
    </row>
    <row r="42" spans="1:18" s="71" customFormat="1">
      <c r="A42" s="94" t="s">
        <v>478</v>
      </c>
      <c r="B42" s="81">
        <v>5.6000000000000001E-2</v>
      </c>
      <c r="C42" s="75">
        <v>14800</v>
      </c>
      <c r="D42" s="76">
        <f t="shared" si="14"/>
        <v>0.57647058823529407</v>
      </c>
      <c r="E42" s="76">
        <f t="shared" si="15"/>
        <v>6.4235294117647062</v>
      </c>
      <c r="F42" s="82">
        <f t="shared" si="16"/>
        <v>2304.0293040293041</v>
      </c>
      <c r="G42" s="86">
        <v>0.2</v>
      </c>
      <c r="H42" s="77">
        <v>11500</v>
      </c>
      <c r="I42" s="76">
        <f t="shared" si="17"/>
        <v>2.0588235294117645</v>
      </c>
      <c r="J42" s="76">
        <f t="shared" si="18"/>
        <v>4.9411764705882355</v>
      </c>
      <c r="K42" s="82">
        <f t="shared" si="19"/>
        <v>2327.3809523809523</v>
      </c>
      <c r="L42" s="86">
        <v>0.68</v>
      </c>
      <c r="M42" s="76">
        <v>7</v>
      </c>
      <c r="N42" s="90">
        <f t="shared" si="20"/>
        <v>10.294117647058822</v>
      </c>
      <c r="O42" s="73"/>
      <c r="P42" s="72"/>
      <c r="Q42" s="74"/>
      <c r="R42" s="74"/>
    </row>
    <row r="43" spans="1:18">
      <c r="A43" s="114"/>
      <c r="B43" s="115">
        <v>0.17</v>
      </c>
      <c r="C43" s="116">
        <f>60*250</f>
        <v>15000</v>
      </c>
      <c r="D43" s="117">
        <f t="shared" ref="D43:D46" si="73">B43*N43</f>
        <v>0.35172413793103452</v>
      </c>
      <c r="E43" s="117">
        <f t="shared" ref="E43:E46" si="74">M43-D43</f>
        <v>5.6482758620689655</v>
      </c>
      <c r="F43" s="80">
        <f t="shared" ref="F43:F46" si="75">C43/E43</f>
        <v>2655.6776556776558</v>
      </c>
      <c r="G43" s="87"/>
      <c r="H43" s="11"/>
      <c r="I43" s="78"/>
      <c r="J43" s="78"/>
      <c r="K43" s="80"/>
      <c r="L43" s="118">
        <v>2.9</v>
      </c>
      <c r="M43" s="117">
        <v>6</v>
      </c>
      <c r="N43" s="119">
        <f t="shared" ref="N43:N46" si="76">M43/L43</f>
        <v>2.0689655172413794</v>
      </c>
      <c r="O43" s="6" t="s">
        <v>520</v>
      </c>
    </row>
    <row r="44" spans="1:18" s="71" customFormat="1">
      <c r="A44" s="94" t="s">
        <v>761</v>
      </c>
      <c r="B44" s="81">
        <v>2.5999999999999999E-2</v>
      </c>
      <c r="C44" s="75">
        <v>3100</v>
      </c>
      <c r="D44" s="76">
        <f t="shared" si="73"/>
        <v>0.24074074074074073</v>
      </c>
      <c r="E44" s="76">
        <f t="shared" si="74"/>
        <v>4.7592592592592595</v>
      </c>
      <c r="F44" s="82">
        <f t="shared" si="75"/>
        <v>651.36186770428014</v>
      </c>
      <c r="G44" s="86">
        <v>0.12</v>
      </c>
      <c r="H44" s="77">
        <v>2540</v>
      </c>
      <c r="I44" s="76">
        <f t="shared" ref="I44" si="77">G44*N44</f>
        <v>1.1111111111111112</v>
      </c>
      <c r="J44" s="76">
        <f t="shared" ref="J44" si="78">M44-I44</f>
        <v>3.8888888888888888</v>
      </c>
      <c r="K44" s="82">
        <f t="shared" ref="K44" si="79">H44/J44</f>
        <v>653.14285714285711</v>
      </c>
      <c r="L44" s="86">
        <v>0.54</v>
      </c>
      <c r="M44" s="76">
        <v>5</v>
      </c>
      <c r="N44" s="90">
        <f t="shared" si="76"/>
        <v>9.2592592592592595</v>
      </c>
      <c r="O44" s="73"/>
      <c r="P44" s="72"/>
      <c r="Q44" s="74"/>
      <c r="R44" s="74"/>
    </row>
    <row r="45" spans="1:18" s="71" customFormat="1">
      <c r="A45" s="94" t="s">
        <v>760</v>
      </c>
      <c r="B45" s="81">
        <v>0.02</v>
      </c>
      <c r="C45" s="75">
        <v>2700</v>
      </c>
      <c r="D45" s="76">
        <f t="shared" ref="D45" si="80">B45*N45</f>
        <v>0.34285714285714286</v>
      </c>
      <c r="E45" s="76">
        <f t="shared" ref="E45" si="81">M45-D45</f>
        <v>5.6571428571428575</v>
      </c>
      <c r="F45" s="82">
        <f t="shared" ref="F45" si="82">C45/E45</f>
        <v>477.27272727272725</v>
      </c>
      <c r="G45" s="86">
        <v>8.4000000000000005E-2</v>
      </c>
      <c r="H45" s="77">
        <v>2180</v>
      </c>
      <c r="I45" s="76">
        <f t="shared" ref="I45" si="83">G45*N45</f>
        <v>1.44</v>
      </c>
      <c r="J45" s="76">
        <f t="shared" ref="J45" si="84">M45-I45</f>
        <v>4.5600000000000005</v>
      </c>
      <c r="K45" s="82">
        <f t="shared" ref="K45" si="85">H45/J45</f>
        <v>478.07017543859644</v>
      </c>
      <c r="L45" s="86">
        <v>0.35</v>
      </c>
      <c r="M45" s="76">
        <v>6</v>
      </c>
      <c r="N45" s="90">
        <f t="shared" ref="N45" si="86">M45/L45</f>
        <v>17.142857142857142</v>
      </c>
      <c r="O45" s="73"/>
      <c r="P45" s="72"/>
      <c r="Q45" s="74"/>
      <c r="R45" s="74"/>
    </row>
    <row r="46" spans="1:18" s="71" customFormat="1">
      <c r="A46" s="94" t="s">
        <v>745</v>
      </c>
      <c r="B46" s="81">
        <v>3.1E-2</v>
      </c>
      <c r="C46" s="75">
        <v>5940</v>
      </c>
      <c r="D46" s="76">
        <f t="shared" si="73"/>
        <v>0.15245901639344261</v>
      </c>
      <c r="E46" s="76">
        <f t="shared" si="74"/>
        <v>2.8475409836065575</v>
      </c>
      <c r="F46" s="82">
        <f t="shared" si="75"/>
        <v>2086.0103626943005</v>
      </c>
      <c r="G46" s="86">
        <v>0.13800000000000001</v>
      </c>
      <c r="H46" s="77">
        <v>4847</v>
      </c>
      <c r="I46" s="76">
        <f t="shared" ref="I46" si="87">G46*N46</f>
        <v>0.67868852459016404</v>
      </c>
      <c r="J46" s="76">
        <f t="shared" ref="J46" si="88">M46-I46</f>
        <v>2.3213114754098361</v>
      </c>
      <c r="K46" s="82">
        <f t="shared" ref="K46" si="89">H46/J46</f>
        <v>2088.0437853107346</v>
      </c>
      <c r="L46" s="86">
        <v>0.61</v>
      </c>
      <c r="M46" s="76">
        <v>3</v>
      </c>
      <c r="N46" s="90">
        <f t="shared" si="76"/>
        <v>4.918032786885246</v>
      </c>
      <c r="O46" s="73"/>
      <c r="P46" s="72"/>
      <c r="Q46" s="74"/>
      <c r="R46" s="74"/>
    </row>
    <row r="47" spans="1:18" s="71" customFormat="1" ht="15" thickBot="1">
      <c r="A47" s="104" t="s">
        <v>507</v>
      </c>
      <c r="B47" s="105">
        <v>0.14799999999999999</v>
      </c>
      <c r="C47" s="106">
        <v>6500</v>
      </c>
      <c r="D47" s="107">
        <f t="shared" si="14"/>
        <v>0.30915475902155481</v>
      </c>
      <c r="E47" s="107">
        <f t="shared" si="15"/>
        <v>5.6908452409784456</v>
      </c>
      <c r="F47" s="108">
        <f t="shared" si="16"/>
        <v>1142.1853388658367</v>
      </c>
      <c r="G47" s="109">
        <v>0.63</v>
      </c>
      <c r="H47" s="110">
        <v>5350</v>
      </c>
      <c r="I47" s="107">
        <f t="shared" si="17"/>
        <v>1.3159966093485105</v>
      </c>
      <c r="J47" s="107">
        <f t="shared" si="18"/>
        <v>4.6840033906514895</v>
      </c>
      <c r="K47" s="108">
        <f t="shared" si="19"/>
        <v>1142.1853388658367</v>
      </c>
      <c r="L47" s="112">
        <f>C47*(G47-B47)/(C47-H47)+B47</f>
        <v>2.8723478260869566</v>
      </c>
      <c r="M47" s="107">
        <v>6</v>
      </c>
      <c r="N47" s="111">
        <f t="shared" si="20"/>
        <v>2.0888835069023974</v>
      </c>
      <c r="O47" s="73" t="s">
        <v>512</v>
      </c>
      <c r="P47" s="72"/>
      <c r="Q47" s="74"/>
      <c r="R47" s="74"/>
    </row>
    <row r="50" spans="1:182">
      <c r="A50" s="70" t="s">
        <v>572</v>
      </c>
      <c r="K50" s="128" t="s">
        <v>578</v>
      </c>
    </row>
    <row r="51" spans="1:182" s="71" customFormat="1">
      <c r="A51" s="94" t="s">
        <v>388</v>
      </c>
      <c r="B51" s="81"/>
      <c r="C51" s="75">
        <v>1800</v>
      </c>
      <c r="D51" s="76"/>
      <c r="E51" s="76">
        <v>0.25080000000000002</v>
      </c>
      <c r="F51" s="82">
        <f t="shared" ref="F51:F56" si="90">C51/E51</f>
        <v>7177.0334928229659</v>
      </c>
      <c r="G51" s="86"/>
      <c r="H51" s="77"/>
      <c r="I51" s="76"/>
      <c r="J51" s="76"/>
      <c r="K51" s="129">
        <f t="shared" ref="K51:K52" si="91">F51*0.933</f>
        <v>6696.1722488038276</v>
      </c>
      <c r="L51" s="130">
        <f>K51-K3</f>
        <v>39.029391660970759</v>
      </c>
      <c r="M51" s="133">
        <f>L51/K3</f>
        <v>5.8627841550814444E-3</v>
      </c>
      <c r="N51" s="90"/>
      <c r="O51" s="73" t="s">
        <v>508</v>
      </c>
      <c r="P51" s="72"/>
      <c r="Q51" s="74"/>
      <c r="R51" s="74"/>
    </row>
    <row r="52" spans="1:182" s="71" customFormat="1">
      <c r="A52" s="94" t="s">
        <v>387</v>
      </c>
      <c r="B52" s="81"/>
      <c r="C52" s="75">
        <v>1800</v>
      </c>
      <c r="D52" s="76"/>
      <c r="E52" s="76">
        <v>0.28549999999999998</v>
      </c>
      <c r="F52" s="82">
        <f t="shared" si="90"/>
        <v>6304.7285464098077</v>
      </c>
      <c r="G52" s="86"/>
      <c r="H52" s="77"/>
      <c r="I52" s="76"/>
      <c r="J52" s="76"/>
      <c r="K52" s="129">
        <f t="shared" si="91"/>
        <v>5882.3117338003512</v>
      </c>
      <c r="L52" s="130">
        <f>K52-K10</f>
        <v>-96.854932866315721</v>
      </c>
      <c r="M52" s="133">
        <f>L52/K10</f>
        <v>-1.6198734416666045E-2</v>
      </c>
      <c r="N52" s="90"/>
      <c r="O52" s="73" t="s">
        <v>509</v>
      </c>
      <c r="P52" s="72"/>
      <c r="Q52" s="74"/>
      <c r="R52" s="74"/>
    </row>
    <row r="53" spans="1:182" s="71" customFormat="1">
      <c r="A53" s="94" t="s">
        <v>576</v>
      </c>
      <c r="B53" s="81"/>
      <c r="C53" s="75">
        <v>1800</v>
      </c>
      <c r="D53" s="76"/>
      <c r="E53" s="76">
        <v>0.36599999999999999</v>
      </c>
      <c r="F53" s="82">
        <f t="shared" si="90"/>
        <v>4918.0327868852464</v>
      </c>
      <c r="G53" s="86"/>
      <c r="H53" s="77"/>
      <c r="I53" s="76"/>
      <c r="J53" s="76"/>
      <c r="K53" s="129">
        <f>F53*0.933</f>
        <v>4588.5245901639355</v>
      </c>
      <c r="L53" s="131">
        <f>K53-K14</f>
        <v>108.5245901639355</v>
      </c>
      <c r="M53" s="133">
        <f>L53/K14</f>
        <v>2.4224238875878459E-2</v>
      </c>
      <c r="N53" s="90"/>
      <c r="O53" s="73" t="s">
        <v>573</v>
      </c>
      <c r="P53" s="72"/>
      <c r="Q53" s="74"/>
      <c r="R53" s="74"/>
    </row>
    <row r="54" spans="1:182">
      <c r="A54" s="93"/>
      <c r="B54" s="79"/>
      <c r="C54" s="9">
        <v>1800</v>
      </c>
      <c r="D54" s="78"/>
      <c r="E54" s="78">
        <v>0.37880000000000003</v>
      </c>
      <c r="F54" s="80">
        <f t="shared" si="90"/>
        <v>4751.8479408658923</v>
      </c>
      <c r="G54" s="87"/>
      <c r="H54" s="11"/>
      <c r="I54" s="78"/>
      <c r="J54" s="78"/>
      <c r="K54" s="80">
        <f>F54*0.933</f>
        <v>4433.4741288278774</v>
      </c>
      <c r="L54" s="132">
        <f>K54-K14</f>
        <v>-46.525871172122606</v>
      </c>
      <c r="M54" s="134">
        <f>L54/K14</f>
        <v>-1.0385239100920225E-2</v>
      </c>
      <c r="N54" s="89"/>
      <c r="O54" s="6" t="s">
        <v>574</v>
      </c>
    </row>
    <row r="55" spans="1:182">
      <c r="A55" s="93"/>
      <c r="B55" s="79"/>
      <c r="C55" s="9">
        <v>1800</v>
      </c>
      <c r="D55" s="78"/>
      <c r="E55" s="78">
        <v>0.40479999999999999</v>
      </c>
      <c r="F55" s="80">
        <f t="shared" si="90"/>
        <v>4446.640316205534</v>
      </c>
      <c r="G55" s="87"/>
      <c r="H55" s="11"/>
      <c r="I55" s="78"/>
      <c r="J55" s="78"/>
      <c r="K55" s="80">
        <f>F55*0.933</f>
        <v>4148.715415019763</v>
      </c>
      <c r="L55" s="132">
        <f>K55-K18</f>
        <v>-153.8709702481865</v>
      </c>
      <c r="M55" s="134">
        <f>L55/K18</f>
        <v>-3.5762436002456689E-2</v>
      </c>
      <c r="N55" s="89"/>
      <c r="O55" s="6" t="s">
        <v>575</v>
      </c>
    </row>
    <row r="56" spans="1:182" s="71" customFormat="1">
      <c r="A56" s="94" t="s">
        <v>390</v>
      </c>
      <c r="B56" s="81"/>
      <c r="C56" s="75">
        <v>1800</v>
      </c>
      <c r="D56" s="76"/>
      <c r="E56" s="76">
        <v>0.55379999999999996</v>
      </c>
      <c r="F56" s="82">
        <f t="shared" si="90"/>
        <v>3250.2708559046591</v>
      </c>
      <c r="G56" s="86"/>
      <c r="H56" s="77"/>
      <c r="I56" s="76"/>
      <c r="J56" s="76"/>
      <c r="K56" s="129">
        <f>F56*0.933</f>
        <v>3032.5027085590473</v>
      </c>
      <c r="L56" s="130">
        <f>K56-K23</f>
        <v>-145.82627316418984</v>
      </c>
      <c r="M56" s="133">
        <f>L56/K23</f>
        <v>-4.5881428260810576E-2</v>
      </c>
      <c r="N56" s="90"/>
      <c r="O56" s="73" t="s">
        <v>511</v>
      </c>
      <c r="P56" s="72" t="s">
        <v>521</v>
      </c>
      <c r="Q56" s="74"/>
      <c r="R56" s="74"/>
    </row>
    <row r="57" spans="1:182">
      <c r="A57" t="s">
        <v>577</v>
      </c>
    </row>
    <row r="59" spans="1:182">
      <c r="B59" s="70">
        <v>0</v>
      </c>
      <c r="C59">
        <v>1</v>
      </c>
      <c r="D59" s="70">
        <v>2</v>
      </c>
      <c r="E59">
        <v>3</v>
      </c>
      <c r="F59" s="70">
        <v>4</v>
      </c>
      <c r="G59">
        <v>5</v>
      </c>
      <c r="H59" s="70">
        <v>6</v>
      </c>
      <c r="I59">
        <v>7</v>
      </c>
      <c r="J59" s="70">
        <v>8</v>
      </c>
      <c r="K59">
        <v>9</v>
      </c>
      <c r="L59" s="70">
        <v>10</v>
      </c>
      <c r="M59">
        <v>11</v>
      </c>
      <c r="N59" s="70">
        <v>12</v>
      </c>
      <c r="O59">
        <v>13</v>
      </c>
      <c r="P59" s="70">
        <v>14</v>
      </c>
      <c r="Q59">
        <v>15</v>
      </c>
      <c r="R59" s="70">
        <v>16</v>
      </c>
      <c r="S59">
        <v>17</v>
      </c>
      <c r="T59" s="70">
        <v>18</v>
      </c>
      <c r="U59">
        <v>19</v>
      </c>
      <c r="V59" s="70">
        <v>20</v>
      </c>
      <c r="W59">
        <v>21</v>
      </c>
      <c r="X59" s="70">
        <v>22</v>
      </c>
      <c r="Y59">
        <v>23</v>
      </c>
      <c r="Z59" s="70">
        <v>24</v>
      </c>
      <c r="AA59">
        <v>25</v>
      </c>
      <c r="AB59" s="70">
        <v>26</v>
      </c>
      <c r="AC59">
        <v>27</v>
      </c>
      <c r="AD59" s="70">
        <v>28</v>
      </c>
      <c r="AE59">
        <v>29</v>
      </c>
      <c r="AF59" s="70">
        <v>30</v>
      </c>
      <c r="AG59">
        <v>31</v>
      </c>
      <c r="AH59" s="70">
        <v>32</v>
      </c>
      <c r="AI59">
        <v>33</v>
      </c>
      <c r="AJ59" s="70">
        <v>34</v>
      </c>
      <c r="AK59">
        <v>35</v>
      </c>
      <c r="AL59" s="70">
        <v>36</v>
      </c>
      <c r="AM59">
        <v>37</v>
      </c>
      <c r="AN59" s="70">
        <v>38</v>
      </c>
      <c r="AO59">
        <v>39</v>
      </c>
      <c r="AP59" s="70">
        <v>40</v>
      </c>
      <c r="AQ59">
        <v>41</v>
      </c>
      <c r="AR59" s="70">
        <v>42</v>
      </c>
      <c r="AS59">
        <v>43</v>
      </c>
      <c r="AT59" s="70">
        <v>44</v>
      </c>
      <c r="AU59">
        <v>45</v>
      </c>
      <c r="AV59" s="70">
        <v>46</v>
      </c>
      <c r="AW59">
        <v>47</v>
      </c>
      <c r="AX59" s="70">
        <v>48</v>
      </c>
      <c r="AY59">
        <v>49</v>
      </c>
      <c r="AZ59" s="70">
        <v>50</v>
      </c>
      <c r="BA59">
        <v>51</v>
      </c>
      <c r="BB59" s="70">
        <v>52</v>
      </c>
      <c r="BC59">
        <v>53</v>
      </c>
      <c r="BD59" s="70">
        <v>54</v>
      </c>
      <c r="BE59">
        <v>55</v>
      </c>
      <c r="BF59" s="70">
        <v>56</v>
      </c>
      <c r="BG59">
        <v>57</v>
      </c>
      <c r="BH59" s="70">
        <v>58</v>
      </c>
      <c r="BI59">
        <v>59</v>
      </c>
      <c r="BJ59" s="70">
        <v>60</v>
      </c>
      <c r="BK59">
        <v>61</v>
      </c>
      <c r="BL59" s="70">
        <v>62</v>
      </c>
      <c r="BM59">
        <v>63</v>
      </c>
      <c r="BN59" s="70">
        <v>64</v>
      </c>
      <c r="BO59">
        <v>65</v>
      </c>
      <c r="BP59" s="70">
        <v>66</v>
      </c>
      <c r="BQ59">
        <v>67</v>
      </c>
      <c r="BR59" s="70">
        <v>68</v>
      </c>
      <c r="BS59">
        <v>69</v>
      </c>
      <c r="BT59" s="70">
        <v>70</v>
      </c>
      <c r="BU59">
        <v>71</v>
      </c>
      <c r="BV59" s="70">
        <v>72</v>
      </c>
      <c r="BW59">
        <v>73</v>
      </c>
      <c r="BX59" s="70">
        <v>74</v>
      </c>
      <c r="BY59">
        <v>75</v>
      </c>
      <c r="BZ59" s="70">
        <v>76</v>
      </c>
      <c r="CA59">
        <v>77</v>
      </c>
      <c r="CB59" s="70">
        <v>78</v>
      </c>
      <c r="CC59">
        <v>79</v>
      </c>
      <c r="CD59" s="70">
        <v>80</v>
      </c>
      <c r="CE59">
        <v>81</v>
      </c>
      <c r="CF59" s="70">
        <v>82</v>
      </c>
      <c r="CG59">
        <v>83</v>
      </c>
      <c r="CH59" s="70">
        <v>84</v>
      </c>
      <c r="CI59">
        <v>85</v>
      </c>
      <c r="CJ59" s="70">
        <v>86</v>
      </c>
      <c r="CK59">
        <v>87</v>
      </c>
      <c r="CL59" s="70">
        <v>88</v>
      </c>
      <c r="CM59">
        <v>89</v>
      </c>
      <c r="CN59" s="70">
        <v>90</v>
      </c>
      <c r="CO59">
        <v>91</v>
      </c>
      <c r="CP59" s="70">
        <v>92</v>
      </c>
      <c r="CQ59">
        <v>93</v>
      </c>
      <c r="CR59" s="70">
        <v>94</v>
      </c>
      <c r="CS59">
        <v>95</v>
      </c>
      <c r="CT59" s="70">
        <v>96</v>
      </c>
      <c r="CU59">
        <v>97</v>
      </c>
      <c r="CV59" s="70">
        <v>98</v>
      </c>
      <c r="CW59">
        <v>99</v>
      </c>
      <c r="CX59" s="70">
        <v>100</v>
      </c>
      <c r="CY59">
        <v>101</v>
      </c>
      <c r="CZ59" s="70">
        <v>102</v>
      </c>
      <c r="DA59">
        <v>103</v>
      </c>
      <c r="DB59" s="70">
        <v>104</v>
      </c>
      <c r="DC59">
        <v>105</v>
      </c>
      <c r="DD59" s="70">
        <v>106</v>
      </c>
      <c r="DE59">
        <v>107</v>
      </c>
      <c r="DF59" s="70">
        <v>108</v>
      </c>
      <c r="DG59">
        <v>109</v>
      </c>
      <c r="DH59" s="70">
        <v>110</v>
      </c>
      <c r="DI59">
        <v>111</v>
      </c>
      <c r="DJ59" s="70">
        <v>112</v>
      </c>
      <c r="DK59">
        <v>113</v>
      </c>
      <c r="DL59" s="70">
        <v>114</v>
      </c>
      <c r="DM59">
        <v>115</v>
      </c>
      <c r="DN59" s="70">
        <v>116</v>
      </c>
      <c r="DO59">
        <v>117</v>
      </c>
      <c r="DP59" s="70">
        <v>118</v>
      </c>
      <c r="DQ59">
        <v>119</v>
      </c>
      <c r="DR59" s="70">
        <v>120</v>
      </c>
      <c r="DS59">
        <v>121</v>
      </c>
      <c r="DT59" s="70">
        <v>122</v>
      </c>
      <c r="DU59">
        <v>123</v>
      </c>
      <c r="DV59" s="70">
        <v>124</v>
      </c>
      <c r="DW59">
        <v>125</v>
      </c>
      <c r="DX59" s="70">
        <v>126</v>
      </c>
      <c r="DY59">
        <v>127</v>
      </c>
      <c r="DZ59" s="70">
        <v>128</v>
      </c>
      <c r="EA59">
        <v>129</v>
      </c>
      <c r="EB59" s="70">
        <v>130</v>
      </c>
      <c r="EC59">
        <v>131</v>
      </c>
      <c r="ED59" s="70">
        <v>132</v>
      </c>
      <c r="EE59">
        <v>133</v>
      </c>
      <c r="EF59" s="70">
        <v>134</v>
      </c>
      <c r="EG59">
        <v>135</v>
      </c>
      <c r="EH59" s="70">
        <v>136</v>
      </c>
      <c r="EI59">
        <v>137</v>
      </c>
      <c r="EJ59" s="70">
        <v>138</v>
      </c>
      <c r="EK59">
        <v>139</v>
      </c>
      <c r="EL59" s="70">
        <v>140</v>
      </c>
      <c r="EM59">
        <v>141</v>
      </c>
      <c r="EN59" s="70">
        <v>142</v>
      </c>
      <c r="EO59">
        <v>143</v>
      </c>
      <c r="EP59" s="70">
        <v>144</v>
      </c>
      <c r="EQ59">
        <v>145</v>
      </c>
      <c r="ER59" s="70">
        <v>146</v>
      </c>
      <c r="ES59">
        <v>147</v>
      </c>
      <c r="ET59" s="70">
        <v>148</v>
      </c>
      <c r="EU59">
        <v>149</v>
      </c>
      <c r="EV59" s="70">
        <v>150</v>
      </c>
      <c r="EW59">
        <v>151</v>
      </c>
      <c r="EX59" s="70">
        <v>152</v>
      </c>
      <c r="EY59">
        <v>153</v>
      </c>
      <c r="EZ59" s="70">
        <v>154</v>
      </c>
      <c r="FA59">
        <v>155</v>
      </c>
      <c r="FB59" s="70">
        <v>156</v>
      </c>
      <c r="FC59">
        <v>157</v>
      </c>
      <c r="FD59" s="70">
        <v>158</v>
      </c>
      <c r="FE59">
        <v>159</v>
      </c>
      <c r="FF59" s="70">
        <v>160</v>
      </c>
      <c r="FG59">
        <v>161</v>
      </c>
      <c r="FH59" s="70">
        <v>162</v>
      </c>
      <c r="FI59">
        <v>163</v>
      </c>
      <c r="FJ59" s="70">
        <v>164</v>
      </c>
      <c r="FK59">
        <v>165</v>
      </c>
      <c r="FL59" s="70">
        <v>166</v>
      </c>
      <c r="FM59">
        <v>167</v>
      </c>
      <c r="FN59" s="70">
        <v>168</v>
      </c>
      <c r="FO59">
        <v>169</v>
      </c>
      <c r="FP59" s="70">
        <v>170</v>
      </c>
      <c r="FQ59">
        <v>171</v>
      </c>
      <c r="FR59" s="70">
        <v>172</v>
      </c>
      <c r="FS59">
        <v>173</v>
      </c>
      <c r="FT59" s="70">
        <v>174</v>
      </c>
      <c r="FU59">
        <v>175</v>
      </c>
      <c r="FV59" s="70">
        <v>176</v>
      </c>
      <c r="FW59">
        <v>177</v>
      </c>
      <c r="FX59" s="70">
        <v>178</v>
      </c>
      <c r="FY59">
        <v>179</v>
      </c>
      <c r="FZ59" s="70">
        <v>180</v>
      </c>
    </row>
    <row r="60" spans="1:182">
      <c r="B60">
        <f t="shared" ref="B60" si="92">SIN(B59/180*PI())</f>
        <v>0</v>
      </c>
      <c r="C60">
        <f t="shared" ref="C60" si="93">SIN(C59/180*PI())</f>
        <v>1.7452406437283512E-2</v>
      </c>
      <c r="D60">
        <f t="shared" ref="D60:E60" si="94">SIN(D59/180*PI())</f>
        <v>3.4899496702500969E-2</v>
      </c>
      <c r="E60">
        <f t="shared" si="94"/>
        <v>5.2335956242943828E-2</v>
      </c>
      <c r="F60">
        <f t="shared" ref="F60" si="95">SIN(F59/180*PI())</f>
        <v>6.9756473744125302E-2</v>
      </c>
      <c r="G60">
        <f t="shared" ref="G60:H60" si="96">SIN(G59/180*PI())</f>
        <v>8.7155742747658166E-2</v>
      </c>
      <c r="H60">
        <f t="shared" si="96"/>
        <v>0.10452846326765346</v>
      </c>
      <c r="I60">
        <f t="shared" ref="I60" si="97">SIN(I59/180*PI())</f>
        <v>0.12186934340514748</v>
      </c>
      <c r="J60">
        <f t="shared" ref="J60:K60" si="98">SIN(J59/180*PI())</f>
        <v>0.13917310096006544</v>
      </c>
      <c r="K60">
        <f t="shared" si="98"/>
        <v>0.15643446504023087</v>
      </c>
      <c r="L60">
        <f t="shared" ref="L60" si="99">SIN(L59/180*PI())</f>
        <v>0.17364817766693033</v>
      </c>
      <c r="M60">
        <f t="shared" ref="M60:N60" si="100">SIN(M59/180*PI())</f>
        <v>0.1908089953765448</v>
      </c>
      <c r="N60">
        <f t="shared" si="100"/>
        <v>0.20791169081775931</v>
      </c>
      <c r="O60">
        <f t="shared" ref="O60" si="101">SIN(O59/180*PI())</f>
        <v>0.22495105434386498</v>
      </c>
      <c r="P60">
        <f t="shared" ref="P60:Q60" si="102">SIN(P59/180*PI())</f>
        <v>0.24192189559966773</v>
      </c>
      <c r="Q60">
        <f t="shared" si="102"/>
        <v>0.25881904510252074</v>
      </c>
      <c r="R60">
        <f t="shared" ref="R60" si="103">SIN(R59/180*PI())</f>
        <v>0.27563735581699916</v>
      </c>
      <c r="S60">
        <f t="shared" ref="S60:T60" si="104">SIN(S59/180*PI())</f>
        <v>0.29237170472273671</v>
      </c>
      <c r="T60">
        <f t="shared" si="104"/>
        <v>0.3090169943749474</v>
      </c>
      <c r="U60">
        <f t="shared" ref="U60" si="105">SIN(U59/180*PI())</f>
        <v>0.3255681544571567</v>
      </c>
      <c r="V60">
        <f t="shared" ref="V60:W60" si="106">SIN(V59/180*PI())</f>
        <v>0.34202014332566871</v>
      </c>
      <c r="W60">
        <f t="shared" si="106"/>
        <v>0.35836794954530027</v>
      </c>
      <c r="X60">
        <f t="shared" ref="X60" si="107">SIN(X59/180*PI())</f>
        <v>0.37460659341591201</v>
      </c>
      <c r="Y60">
        <f t="shared" ref="Y60:Z60" si="108">SIN(Y59/180*PI())</f>
        <v>0.39073112848927372</v>
      </c>
      <c r="Z60">
        <f t="shared" si="108"/>
        <v>0.40673664307580015</v>
      </c>
      <c r="AA60">
        <f t="shared" ref="AA60" si="109">SIN(AA59/180*PI())</f>
        <v>0.42261826174069944</v>
      </c>
      <c r="AB60">
        <f t="shared" ref="AB60:AC60" si="110">SIN(AB59/180*PI())</f>
        <v>0.4383711467890774</v>
      </c>
      <c r="AC60">
        <f t="shared" si="110"/>
        <v>0.45399049973954675</v>
      </c>
      <c r="AD60">
        <f t="shared" ref="AD60" si="111">SIN(AD59/180*PI())</f>
        <v>0.46947156278589081</v>
      </c>
      <c r="AE60">
        <f t="shared" ref="AE60:AF60" si="112">SIN(AE59/180*PI())</f>
        <v>0.48480962024633706</v>
      </c>
      <c r="AF60">
        <f t="shared" si="112"/>
        <v>0.49999999999999994</v>
      </c>
      <c r="AG60">
        <f t="shared" ref="AG60" si="113">SIN(AG59/180*PI())</f>
        <v>0.51503807491005416</v>
      </c>
      <c r="AH60">
        <f t="shared" ref="AH60:AI60" si="114">SIN(AH59/180*PI())</f>
        <v>0.5299192642332049</v>
      </c>
      <c r="AI60">
        <f t="shared" si="114"/>
        <v>0.54463903501502697</v>
      </c>
      <c r="AJ60">
        <f t="shared" ref="AJ60" si="115">SIN(AJ59/180*PI())</f>
        <v>0.55919290347074679</v>
      </c>
      <c r="AK60">
        <f t="shared" ref="AK60:AL60" si="116">SIN(AK59/180*PI())</f>
        <v>0.57357643635104605</v>
      </c>
      <c r="AL60">
        <f t="shared" si="116"/>
        <v>0.58778525229247314</v>
      </c>
      <c r="AM60">
        <f t="shared" ref="AM60" si="117">SIN(AM59/180*PI())</f>
        <v>0.60181502315204827</v>
      </c>
      <c r="AN60">
        <f t="shared" ref="AN60:AO60" si="118">SIN(AN59/180*PI())</f>
        <v>0.61566147532565829</v>
      </c>
      <c r="AO60">
        <f t="shared" si="118"/>
        <v>0.6293203910498375</v>
      </c>
      <c r="AP60">
        <f t="shared" ref="AP60" si="119">SIN(AP59/180*PI())</f>
        <v>0.64278760968653925</v>
      </c>
      <c r="AQ60">
        <f t="shared" ref="AQ60:AR60" si="120">SIN(AQ59/180*PI())</f>
        <v>0.65605902899050728</v>
      </c>
      <c r="AR60">
        <f t="shared" si="120"/>
        <v>0.66913060635885824</v>
      </c>
      <c r="AS60">
        <f t="shared" ref="AS60" si="121">SIN(AS59/180*PI())</f>
        <v>0.68199836006249848</v>
      </c>
      <c r="AT60">
        <f t="shared" ref="AT60:AU60" si="122">SIN(AT59/180*PI())</f>
        <v>0.69465837045899725</v>
      </c>
      <c r="AU60">
        <f t="shared" si="122"/>
        <v>0.70710678118654746</v>
      </c>
      <c r="AV60">
        <f t="shared" ref="AV60" si="123">SIN(AV59/180*PI())</f>
        <v>0.71933980033865108</v>
      </c>
      <c r="AW60">
        <f t="shared" ref="AW60:AX60" si="124">SIN(AW59/180*PI())</f>
        <v>0.73135370161917046</v>
      </c>
      <c r="AX60">
        <f t="shared" si="124"/>
        <v>0.74314482547739413</v>
      </c>
      <c r="AY60">
        <f t="shared" ref="AY60" si="125">SIN(AY59/180*PI())</f>
        <v>0.7547095802227719</v>
      </c>
      <c r="AZ60">
        <f t="shared" ref="AZ60:BA60" si="126">SIN(AZ59/180*PI())</f>
        <v>0.76604444311897801</v>
      </c>
      <c r="BA60">
        <f t="shared" si="126"/>
        <v>0.77714596145697079</v>
      </c>
      <c r="BB60">
        <f t="shared" ref="BB60" si="127">SIN(BB59/180*PI())</f>
        <v>0.7880107536067219</v>
      </c>
      <c r="BC60">
        <f t="shared" ref="BC60:BD60" si="128">SIN(BC59/180*PI())</f>
        <v>0.79863551004729283</v>
      </c>
      <c r="BD60">
        <f t="shared" si="128"/>
        <v>0.80901699437494745</v>
      </c>
      <c r="BE60">
        <f t="shared" ref="BE60" si="129">SIN(BE59/180*PI())</f>
        <v>0.8191520442889918</v>
      </c>
      <c r="BF60">
        <f t="shared" ref="BF60:BG60" si="130">SIN(BF59/180*PI())</f>
        <v>0.82903757255504174</v>
      </c>
      <c r="BG60">
        <f t="shared" si="130"/>
        <v>0.83867056794542394</v>
      </c>
      <c r="BH60">
        <f t="shared" ref="BH60" si="131">SIN(BH59/180*PI())</f>
        <v>0.84804809615642596</v>
      </c>
      <c r="BI60">
        <f t="shared" ref="BI60:BJ60" si="132">SIN(BI59/180*PI())</f>
        <v>0.85716730070211222</v>
      </c>
      <c r="BJ60">
        <f t="shared" si="132"/>
        <v>0.8660254037844386</v>
      </c>
      <c r="BK60">
        <f t="shared" ref="BK60" si="133">SIN(BK59/180*PI())</f>
        <v>0.87461970713939574</v>
      </c>
      <c r="BL60">
        <f t="shared" ref="BL60:BM60" si="134">SIN(BL59/180*PI())</f>
        <v>0.88294759285892688</v>
      </c>
      <c r="BM60">
        <f t="shared" si="134"/>
        <v>0.89100652418836779</v>
      </c>
      <c r="BN60">
        <f t="shared" ref="BN60" si="135">SIN(BN59/180*PI())</f>
        <v>0.89879404629916704</v>
      </c>
      <c r="BO60">
        <f t="shared" ref="BO60:BP60" si="136">SIN(BO59/180*PI())</f>
        <v>0.90630778703664994</v>
      </c>
      <c r="BP60">
        <f t="shared" si="136"/>
        <v>0.91354545764260087</v>
      </c>
      <c r="BQ60">
        <f t="shared" ref="BQ60" si="137">SIN(BQ59/180*PI())</f>
        <v>0.92050485345244037</v>
      </c>
      <c r="BR60">
        <f t="shared" ref="BR60:BS60" si="138">SIN(BR59/180*PI())</f>
        <v>0.92718385456678731</v>
      </c>
      <c r="BS60">
        <f t="shared" si="138"/>
        <v>0.93358042649720174</v>
      </c>
      <c r="BT60">
        <f t="shared" ref="BT60" si="139">SIN(BT59/180*PI())</f>
        <v>0.93969262078590832</v>
      </c>
      <c r="BU60">
        <f t="shared" ref="BU60:BV60" si="140">SIN(BU59/180*PI())</f>
        <v>0.94551857559931674</v>
      </c>
      <c r="BV60">
        <f t="shared" si="140"/>
        <v>0.95105651629515353</v>
      </c>
      <c r="BW60">
        <f t="shared" ref="BW60" si="141">SIN(BW59/180*PI())</f>
        <v>0.95630475596303544</v>
      </c>
      <c r="BX60">
        <f t="shared" ref="BX60:BY60" si="142">SIN(BX59/180*PI())</f>
        <v>0.96126169593831889</v>
      </c>
      <c r="BY60">
        <f t="shared" si="142"/>
        <v>0.96592582628906831</v>
      </c>
      <c r="BZ60">
        <f t="shared" ref="BZ60" si="143">SIN(BZ59/180*PI())</f>
        <v>0.97029572627599647</v>
      </c>
      <c r="CA60">
        <f t="shared" ref="CA60:CB60" si="144">SIN(CA59/180*PI())</f>
        <v>0.97437006478523525</v>
      </c>
      <c r="CB60">
        <f t="shared" si="144"/>
        <v>0.97814760073380569</v>
      </c>
      <c r="CC60">
        <f t="shared" ref="CC60" si="145">SIN(CC59/180*PI())</f>
        <v>0.98162718344766398</v>
      </c>
      <c r="CD60">
        <f t="shared" ref="CD60:CE60" si="146">SIN(CD59/180*PI())</f>
        <v>0.98480775301220802</v>
      </c>
      <c r="CE60">
        <f t="shared" si="146"/>
        <v>0.98768834059513777</v>
      </c>
      <c r="CF60">
        <f t="shared" ref="CF60" si="147">SIN(CF59/180*PI())</f>
        <v>0.99026806874157036</v>
      </c>
      <c r="CG60">
        <f t="shared" ref="CG60:CH60" si="148">SIN(CG59/180*PI())</f>
        <v>0.99254615164132198</v>
      </c>
      <c r="CH60">
        <f t="shared" si="148"/>
        <v>0.99452189536827329</v>
      </c>
      <c r="CI60">
        <f t="shared" ref="CI60" si="149">SIN(CI59/180*PI())</f>
        <v>0.99619469809174555</v>
      </c>
      <c r="CJ60">
        <f t="shared" ref="CJ60:CK60" si="150">SIN(CJ59/180*PI())</f>
        <v>0.9975640502598242</v>
      </c>
      <c r="CK60">
        <f t="shared" si="150"/>
        <v>0.99862953475457383</v>
      </c>
      <c r="CL60">
        <f t="shared" ref="CL60" si="151">SIN(CL59/180*PI())</f>
        <v>0.99939082701909576</v>
      </c>
      <c r="CM60">
        <f t="shared" ref="CM60:CN60" si="152">SIN(CM59/180*PI())</f>
        <v>0.99984769515639127</v>
      </c>
      <c r="CN60">
        <f t="shared" si="152"/>
        <v>1</v>
      </c>
      <c r="CO60">
        <f t="shared" ref="CO60" si="153">SIN(CO59/180*PI())</f>
        <v>0.99984769515639127</v>
      </c>
      <c r="CP60">
        <f t="shared" ref="CP60:CQ60" si="154">SIN(CP59/180*PI())</f>
        <v>0.99939082701909576</v>
      </c>
      <c r="CQ60">
        <f t="shared" si="154"/>
        <v>0.99862953475457383</v>
      </c>
      <c r="CR60">
        <f t="shared" ref="CR60" si="155">SIN(CR59/180*PI())</f>
        <v>0.9975640502598242</v>
      </c>
      <c r="CS60">
        <f t="shared" ref="CS60:CT60" si="156">SIN(CS59/180*PI())</f>
        <v>0.99619469809174555</v>
      </c>
      <c r="CT60">
        <f t="shared" si="156"/>
        <v>0.9945218953682734</v>
      </c>
      <c r="CU60">
        <f t="shared" ref="CU60" si="157">SIN(CU59/180*PI())</f>
        <v>0.99254615164132209</v>
      </c>
      <c r="CV60">
        <f t="shared" ref="CV60:CW60" si="158">SIN(CV59/180*PI())</f>
        <v>0.99026806874157036</v>
      </c>
      <c r="CW60">
        <f t="shared" si="158"/>
        <v>0.98768834059513766</v>
      </c>
      <c r="CX60">
        <f t="shared" ref="CX60" si="159">SIN(CX59/180*PI())</f>
        <v>0.98480775301220802</v>
      </c>
      <c r="CY60">
        <f t="shared" ref="CY60:CZ60" si="160">SIN(CY59/180*PI())</f>
        <v>0.98162718344766398</v>
      </c>
      <c r="CZ60">
        <f t="shared" si="160"/>
        <v>0.97814760073380569</v>
      </c>
      <c r="DA60">
        <f t="shared" ref="DA60" si="161">SIN(DA59/180*PI())</f>
        <v>0.97437006478523525</v>
      </c>
      <c r="DB60">
        <f t="shared" ref="DB60:DC60" si="162">SIN(DB59/180*PI())</f>
        <v>0.97029572627599647</v>
      </c>
      <c r="DC60">
        <f t="shared" si="162"/>
        <v>0.96592582628906831</v>
      </c>
      <c r="DD60">
        <f t="shared" ref="DD60" si="163">SIN(DD59/180*PI())</f>
        <v>0.96126169593831889</v>
      </c>
      <c r="DE60">
        <f t="shared" ref="DE60:DF60" si="164">SIN(DE59/180*PI())</f>
        <v>0.95630475596303555</v>
      </c>
      <c r="DF60">
        <f t="shared" si="164"/>
        <v>0.95105651629515364</v>
      </c>
      <c r="DG60">
        <f t="shared" ref="DG60" si="165">SIN(DG59/180*PI())</f>
        <v>0.94551857559931685</v>
      </c>
      <c r="DH60">
        <f t="shared" ref="DH60:DI60" si="166">SIN(DH59/180*PI())</f>
        <v>0.93969262078590843</v>
      </c>
      <c r="DI60">
        <f t="shared" si="166"/>
        <v>0.93358042649720174</v>
      </c>
      <c r="DJ60">
        <f t="shared" ref="DJ60" si="167">SIN(DJ59/180*PI())</f>
        <v>0.92718385456678742</v>
      </c>
      <c r="DK60">
        <f t="shared" ref="DK60:DL60" si="168">SIN(DK59/180*PI())</f>
        <v>0.92050485345244037</v>
      </c>
      <c r="DL60">
        <f t="shared" si="168"/>
        <v>0.91354545764260098</v>
      </c>
      <c r="DM60">
        <f t="shared" ref="DM60" si="169">SIN(DM59/180*PI())</f>
        <v>0.90630778703665005</v>
      </c>
      <c r="DN60">
        <f t="shared" ref="DN60:DO60" si="170">SIN(DN59/180*PI())</f>
        <v>0.89879404629916693</v>
      </c>
      <c r="DO60">
        <f t="shared" si="170"/>
        <v>0.8910065241883679</v>
      </c>
      <c r="DP60">
        <f t="shared" ref="DP60" si="171">SIN(DP59/180*PI())</f>
        <v>0.8829475928589271</v>
      </c>
      <c r="DQ60">
        <f t="shared" ref="DQ60:DR60" si="172">SIN(DQ59/180*PI())</f>
        <v>0.87461970713939585</v>
      </c>
      <c r="DR60">
        <f t="shared" si="172"/>
        <v>0.86602540378443871</v>
      </c>
      <c r="DS60">
        <f t="shared" ref="DS60" si="173">SIN(DS59/180*PI())</f>
        <v>0.85716730070211233</v>
      </c>
      <c r="DT60">
        <f t="shared" ref="DT60:DU60" si="174">SIN(DT59/180*PI())</f>
        <v>0.84804809615642607</v>
      </c>
      <c r="DU60">
        <f t="shared" si="174"/>
        <v>0.83867056794542394</v>
      </c>
      <c r="DV60">
        <f t="shared" ref="DV60" si="175">SIN(DV59/180*PI())</f>
        <v>0.82903757255504174</v>
      </c>
      <c r="DW60">
        <f t="shared" ref="DW60:DX60" si="176">SIN(DW59/180*PI())</f>
        <v>0.81915204428899202</v>
      </c>
      <c r="DX60">
        <f t="shared" si="176"/>
        <v>0.80901699437494745</v>
      </c>
      <c r="DY60">
        <f t="shared" ref="DY60" si="177">SIN(DY59/180*PI())</f>
        <v>0.79863551004729272</v>
      </c>
      <c r="DZ60">
        <f t="shared" ref="DZ60:EA60" si="178">SIN(DZ59/180*PI())</f>
        <v>0.78801075360672201</v>
      </c>
      <c r="EA60">
        <f t="shared" si="178"/>
        <v>0.77714596145697101</v>
      </c>
      <c r="EB60">
        <f t="shared" ref="EB60" si="179">SIN(EB59/180*PI())</f>
        <v>0.76604444311897801</v>
      </c>
      <c r="EC60">
        <f t="shared" ref="EC60:ED60" si="180">SIN(EC59/180*PI())</f>
        <v>0.75470958022277213</v>
      </c>
      <c r="ED60">
        <f t="shared" si="180"/>
        <v>0.74314482547739447</v>
      </c>
      <c r="EE60">
        <f t="shared" ref="EE60" si="181">SIN(EE59/180*PI())</f>
        <v>0.73135370161917057</v>
      </c>
      <c r="EF60">
        <f t="shared" ref="EF60:EG60" si="182">SIN(EF59/180*PI())</f>
        <v>0.71933980033865108</v>
      </c>
      <c r="EG60">
        <f t="shared" si="182"/>
        <v>0.70710678118654757</v>
      </c>
      <c r="EH60">
        <f t="shared" ref="EH60" si="183">SIN(EH59/180*PI())</f>
        <v>0.69465837045899748</v>
      </c>
      <c r="EI60">
        <f t="shared" ref="EI60:EJ60" si="184">SIN(EI59/180*PI())</f>
        <v>0.68199836006249859</v>
      </c>
      <c r="EJ60">
        <f t="shared" si="184"/>
        <v>0.66913060635885802</v>
      </c>
      <c r="EK60">
        <f t="shared" ref="EK60" si="185">SIN(EK59/180*PI())</f>
        <v>0.65605902899050728</v>
      </c>
      <c r="EL60">
        <f t="shared" ref="EL60:EM60" si="186">SIN(EL59/180*PI())</f>
        <v>0.64278760968653947</v>
      </c>
      <c r="EM60">
        <f t="shared" si="186"/>
        <v>0.62932039104983739</v>
      </c>
      <c r="EN60">
        <f t="shared" ref="EN60" si="187">SIN(EN59/180*PI())</f>
        <v>0.6156614753256584</v>
      </c>
      <c r="EO60">
        <f t="shared" ref="EO60:EP60" si="188">SIN(EO59/180*PI())</f>
        <v>0.6018150231520486</v>
      </c>
      <c r="EP60">
        <f t="shared" si="188"/>
        <v>0.58778525229247325</v>
      </c>
      <c r="EQ60">
        <f t="shared" ref="EQ60" si="189">SIN(EQ59/180*PI())</f>
        <v>0.57357643635104594</v>
      </c>
      <c r="ER60">
        <f t="shared" ref="ER60:ES60" si="190">SIN(ER59/180*PI())</f>
        <v>0.5591929034707469</v>
      </c>
      <c r="ES60">
        <f t="shared" si="190"/>
        <v>0.54463903501502731</v>
      </c>
      <c r="ET60">
        <f t="shared" ref="ET60" si="191">SIN(ET59/180*PI())</f>
        <v>0.5299192642332049</v>
      </c>
      <c r="EU60">
        <f t="shared" ref="EU60:EV60" si="192">SIN(EU59/180*PI())</f>
        <v>0.51503807491005438</v>
      </c>
      <c r="EV60">
        <f t="shared" si="192"/>
        <v>0.49999999999999994</v>
      </c>
      <c r="EW60">
        <f t="shared" ref="EW60" si="193">SIN(EW59/180*PI())</f>
        <v>0.48480962024633717</v>
      </c>
      <c r="EX60">
        <f t="shared" ref="EX60:EY60" si="194">SIN(EX59/180*PI())</f>
        <v>0.46947156278589069</v>
      </c>
      <c r="EY60">
        <f t="shared" si="194"/>
        <v>0.45399049973954686</v>
      </c>
      <c r="EZ60">
        <f t="shared" ref="EZ60" si="195">SIN(EZ59/180*PI())</f>
        <v>0.43837114678907768</v>
      </c>
      <c r="FA60">
        <f t="shared" ref="FA60:FB60" si="196">SIN(FA59/180*PI())</f>
        <v>0.4226182617406995</v>
      </c>
      <c r="FB60">
        <f t="shared" si="196"/>
        <v>0.40673664307580004</v>
      </c>
      <c r="FC60">
        <f t="shared" ref="FC60" si="197">SIN(FC59/180*PI())</f>
        <v>0.39073112848927377</v>
      </c>
      <c r="FD60">
        <f t="shared" ref="FD60:FE60" si="198">SIN(FD59/180*PI())</f>
        <v>0.37460659341591224</v>
      </c>
      <c r="FE60">
        <f t="shared" si="198"/>
        <v>0.35836794954530066</v>
      </c>
      <c r="FF60">
        <f t="shared" ref="FF60" si="199">SIN(FF59/180*PI())</f>
        <v>0.34202014332566888</v>
      </c>
      <c r="FG60">
        <f t="shared" ref="FG60:FH60" si="200">SIN(FG59/180*PI())</f>
        <v>0.32556815445715659</v>
      </c>
      <c r="FH60">
        <f t="shared" si="200"/>
        <v>0.30901699437494751</v>
      </c>
      <c r="FI60">
        <f t="shared" ref="FI60" si="201">SIN(FI59/180*PI())</f>
        <v>0.29237170472273705</v>
      </c>
      <c r="FJ60">
        <f t="shared" ref="FJ60:FK60" si="202">SIN(FJ59/180*PI())</f>
        <v>0.27563735581699922</v>
      </c>
      <c r="FK60">
        <f t="shared" si="202"/>
        <v>0.25881904510252102</v>
      </c>
      <c r="FL60">
        <f t="shared" ref="FL60" si="203">SIN(FL59/180*PI())</f>
        <v>0.24192189559966773</v>
      </c>
      <c r="FM60">
        <f t="shared" ref="FM60:FN60" si="204">SIN(FM59/180*PI())</f>
        <v>0.2249510543438652</v>
      </c>
      <c r="FN60">
        <f t="shared" si="204"/>
        <v>0.20791169081775931</v>
      </c>
      <c r="FO60">
        <f t="shared" ref="FO60" si="205">SIN(FO59/180*PI())</f>
        <v>0.19080899537654497</v>
      </c>
      <c r="FP60">
        <f t="shared" ref="FP60:FQ60" si="206">SIN(FP59/180*PI())</f>
        <v>0.17364817766693069</v>
      </c>
      <c r="FQ60">
        <f t="shared" si="206"/>
        <v>0.15643446504023098</v>
      </c>
      <c r="FR60">
        <f t="shared" ref="FR60" si="207">SIN(FR59/180*PI())</f>
        <v>0.13917310096006533</v>
      </c>
      <c r="FS60">
        <f t="shared" ref="FS60:FT60" si="208">SIN(FS59/180*PI())</f>
        <v>0.12186934340514755</v>
      </c>
      <c r="FT60">
        <f t="shared" si="208"/>
        <v>0.10452846326765373</v>
      </c>
      <c r="FU60">
        <f t="shared" ref="FU60" si="209">SIN(FU59/180*PI())</f>
        <v>8.7155742747658194E-2</v>
      </c>
      <c r="FV60">
        <f t="shared" ref="FV60:FW60" si="210">SIN(FV59/180*PI())</f>
        <v>6.9756473744125524E-2</v>
      </c>
      <c r="FW60">
        <f t="shared" si="210"/>
        <v>5.2335956242944251E-2</v>
      </c>
      <c r="FX60">
        <f t="shared" ref="FX60:FY60" si="211">SIN(FX59/180*PI())</f>
        <v>3.4899496702501143E-2</v>
      </c>
      <c r="FY60">
        <f t="shared" si="211"/>
        <v>1.7452406437283439E-2</v>
      </c>
      <c r="FZ60">
        <f>SIN(FZ59/180*PI())</f>
        <v>1.22514845490862E-16</v>
      </c>
    </row>
    <row r="76" spans="1:6">
      <c r="A76" t="s">
        <v>590</v>
      </c>
      <c r="B76" s="6"/>
      <c r="C76" s="5" t="s">
        <v>600</v>
      </c>
      <c r="E76" s="1">
        <v>4480</v>
      </c>
      <c r="F76" s="5" t="s">
        <v>600</v>
      </c>
    </row>
    <row r="77" spans="1:6">
      <c r="B77" s="135">
        <v>1000</v>
      </c>
      <c r="C77" s="135" t="s">
        <v>596</v>
      </c>
      <c r="F77"/>
    </row>
    <row r="78" spans="1:6">
      <c r="A78" t="s">
        <v>582</v>
      </c>
      <c r="B78" s="135"/>
      <c r="C78" s="135" t="s">
        <v>586</v>
      </c>
      <c r="E78" s="139">
        <f>$B77/E76</f>
        <v>0.22321428571428573</v>
      </c>
      <c r="F78" s="5" t="s">
        <v>598</v>
      </c>
    </row>
    <row r="79" spans="1:6">
      <c r="B79" s="136">
        <v>60</v>
      </c>
      <c r="C79" s="5" t="s">
        <v>587</v>
      </c>
      <c r="D79"/>
      <c r="E79" s="1">
        <f>E78*$B79</f>
        <v>13.392857142857144</v>
      </c>
      <c r="F79" s="139" t="s">
        <v>599</v>
      </c>
    </row>
    <row r="80" spans="1:6">
      <c r="A80" t="s">
        <v>585</v>
      </c>
      <c r="B80" s="136">
        <v>6</v>
      </c>
      <c r="C80" s="5" t="s">
        <v>588</v>
      </c>
      <c r="D80"/>
      <c r="E80" s="1">
        <f>E79/$B80</f>
        <v>2.2321428571428572</v>
      </c>
      <c r="F80" s="139" t="s">
        <v>594</v>
      </c>
    </row>
    <row r="81" spans="1:9">
      <c r="A81" t="s">
        <v>583</v>
      </c>
      <c r="B81" s="136">
        <v>2</v>
      </c>
      <c r="C81" s="5" t="s">
        <v>593</v>
      </c>
      <c r="E81" s="1">
        <f>E80/$B81</f>
        <v>1.1160714285714286</v>
      </c>
      <c r="F81" s="139" t="s">
        <v>601</v>
      </c>
    </row>
    <row r="82" spans="1:9">
      <c r="A82" t="s">
        <v>584</v>
      </c>
      <c r="B82" s="41">
        <v>4000000</v>
      </c>
      <c r="C82" s="5" t="s">
        <v>589</v>
      </c>
      <c r="E82" s="137">
        <f>E81*$B82</f>
        <v>4464285.7142857146</v>
      </c>
      <c r="F82" s="128" t="s">
        <v>602</v>
      </c>
    </row>
    <row r="83" spans="1:9">
      <c r="E83" s="138" t="str">
        <f>DEC2HEX(E82)</f>
        <v>441E9D</v>
      </c>
    </row>
    <row r="85" spans="1:9">
      <c r="A85" s="300" t="s">
        <v>608</v>
      </c>
      <c r="B85" s="300"/>
      <c r="E85" s="139" t="s">
        <v>592</v>
      </c>
      <c r="H85" s="136" t="s">
        <v>616</v>
      </c>
    </row>
    <row r="86" spans="1:9">
      <c r="A86" t="s">
        <v>584</v>
      </c>
      <c r="B86" s="41">
        <v>4000000</v>
      </c>
      <c r="C86" s="5" t="s">
        <v>595</v>
      </c>
      <c r="E86" s="137">
        <f>16777216-1</f>
        <v>16777215</v>
      </c>
      <c r="F86" s="128" t="s">
        <v>591</v>
      </c>
      <c r="H86" s="137">
        <f>16384*16384-1</f>
        <v>268435455</v>
      </c>
      <c r="I86" s="128" t="s">
        <v>591</v>
      </c>
    </row>
    <row r="87" spans="1:9">
      <c r="A87" t="s">
        <v>583</v>
      </c>
      <c r="B87" s="136">
        <v>2</v>
      </c>
      <c r="C87" s="5" t="s">
        <v>593</v>
      </c>
      <c r="E87" s="1">
        <f>E86/$B86</f>
        <v>4.1943037500000004</v>
      </c>
      <c r="F87" s="139" t="s">
        <v>601</v>
      </c>
      <c r="H87" s="1">
        <f>H86/$B86</f>
        <v>67.108863749999998</v>
      </c>
      <c r="I87" s="139" t="s">
        <v>601</v>
      </c>
    </row>
    <row r="88" spans="1:9">
      <c r="A88" t="s">
        <v>585</v>
      </c>
      <c r="B88" s="136">
        <v>6</v>
      </c>
      <c r="C88" s="5" t="s">
        <v>588</v>
      </c>
      <c r="E88" s="1">
        <f>E87*$B87</f>
        <v>8.3886075000000009</v>
      </c>
      <c r="F88" s="139" t="s">
        <v>603</v>
      </c>
      <c r="H88" s="1">
        <f>H87*$B87</f>
        <v>134.2177275</v>
      </c>
      <c r="I88" s="139" t="s">
        <v>603</v>
      </c>
    </row>
    <row r="89" spans="1:9">
      <c r="B89" s="136">
        <v>60</v>
      </c>
      <c r="C89" s="5" t="s">
        <v>587</v>
      </c>
      <c r="E89" s="1">
        <f>E88*$B88</f>
        <v>50.331645000000009</v>
      </c>
      <c r="F89" s="139" t="s">
        <v>599</v>
      </c>
      <c r="H89" s="1">
        <f>H88*$B88</f>
        <v>805.30636499999991</v>
      </c>
      <c r="I89" s="139" t="s">
        <v>599</v>
      </c>
    </row>
    <row r="90" spans="1:9">
      <c r="A90" t="s">
        <v>582</v>
      </c>
      <c r="B90" s="135"/>
      <c r="C90" s="135" t="s">
        <v>597</v>
      </c>
      <c r="E90" s="1">
        <f>E89/$B89</f>
        <v>0.83886075000000015</v>
      </c>
      <c r="F90" s="5" t="s">
        <v>598</v>
      </c>
      <c r="H90" s="1">
        <f>H89/$B89</f>
        <v>13.421772749999999</v>
      </c>
      <c r="I90" s="5" t="s">
        <v>598</v>
      </c>
    </row>
    <row r="91" spans="1:9">
      <c r="B91" s="135">
        <v>1000</v>
      </c>
      <c r="C91" s="135" t="s">
        <v>596</v>
      </c>
      <c r="F91" s="5"/>
      <c r="H91" s="1"/>
      <c r="I91" s="5"/>
    </row>
    <row r="92" spans="1:9">
      <c r="A92" t="s">
        <v>590</v>
      </c>
      <c r="B92" s="6"/>
      <c r="C92" s="5" t="s">
        <v>600</v>
      </c>
      <c r="E92" s="1">
        <f>$B91/E90</f>
        <v>1192.0929665620902</v>
      </c>
      <c r="F92" s="5" t="s">
        <v>600</v>
      </c>
      <c r="H92" s="1">
        <f>$B91/H90</f>
        <v>74.505806246794052</v>
      </c>
      <c r="I92" s="5" t="s">
        <v>600</v>
      </c>
    </row>
    <row r="93" spans="1:9">
      <c r="A93" t="s">
        <v>617</v>
      </c>
      <c r="B93" s="140">
        <v>18</v>
      </c>
      <c r="C93" s="5" t="s">
        <v>619</v>
      </c>
      <c r="F93" s="5"/>
      <c r="H93" s="1"/>
      <c r="I93" s="5"/>
    </row>
    <row r="94" spans="1:9">
      <c r="A94" t="s">
        <v>618</v>
      </c>
      <c r="B94" s="7">
        <f>B86*B93/1000000</f>
        <v>72</v>
      </c>
      <c r="C94" s="5" t="s">
        <v>585</v>
      </c>
      <c r="D94" s="1" t="s">
        <v>625</v>
      </c>
      <c r="F94" s="5"/>
      <c r="H94" s="1"/>
      <c r="I94" s="5"/>
    </row>
    <row r="95" spans="1:9">
      <c r="A95" t="s">
        <v>622</v>
      </c>
      <c r="B95" s="7">
        <v>36</v>
      </c>
      <c r="C95" s="5" t="s">
        <v>585</v>
      </c>
      <c r="D95" s="1" t="s">
        <v>626</v>
      </c>
      <c r="F95" s="5"/>
      <c r="H95" s="1"/>
      <c r="I95" s="5"/>
    </row>
    <row r="96" spans="1:9">
      <c r="A96" t="s">
        <v>620</v>
      </c>
      <c r="B96" s="140">
        <f>B94/B95</f>
        <v>2</v>
      </c>
      <c r="C96" s="5"/>
      <c r="D96" s="1" t="s">
        <v>621</v>
      </c>
      <c r="F96" s="5"/>
      <c r="H96" s="1"/>
      <c r="I96" s="5"/>
    </row>
    <row r="99" spans="1:9">
      <c r="A99" s="300" t="s">
        <v>641</v>
      </c>
      <c r="B99" s="300"/>
      <c r="E99" s="139" t="s">
        <v>592</v>
      </c>
      <c r="H99" s="136" t="s">
        <v>616</v>
      </c>
    </row>
    <row r="100" spans="1:9">
      <c r="A100" s="58" t="s">
        <v>610</v>
      </c>
      <c r="B100" s="41">
        <v>4000000</v>
      </c>
      <c r="C100" s="5" t="s">
        <v>589</v>
      </c>
      <c r="E100" s="139"/>
      <c r="H100" s="136"/>
    </row>
    <row r="101" spans="1:9">
      <c r="A101" s="58" t="s">
        <v>611</v>
      </c>
      <c r="B101" s="47">
        <f>D101*F101</f>
        <v>256</v>
      </c>
      <c r="C101" t="s">
        <v>623</v>
      </c>
      <c r="D101" s="34">
        <v>64</v>
      </c>
      <c r="E101" s="139" t="s">
        <v>624</v>
      </c>
      <c r="F101" s="34">
        <v>4</v>
      </c>
      <c r="H101" s="136"/>
    </row>
    <row r="102" spans="1:9">
      <c r="A102" s="58" t="s">
        <v>629</v>
      </c>
      <c r="B102" s="147">
        <f>B100/D101/F101</f>
        <v>15625</v>
      </c>
      <c r="C102" s="5" t="s">
        <v>589</v>
      </c>
      <c r="D102" s="34"/>
      <c r="E102" s="139"/>
      <c r="H102" s="136"/>
    </row>
    <row r="103" spans="1:9">
      <c r="A103" s="58" t="s">
        <v>614</v>
      </c>
      <c r="B103" s="47">
        <v>256</v>
      </c>
      <c r="E103" s="139"/>
      <c r="H103" s="136"/>
    </row>
    <row r="104" spans="1:9">
      <c r="A104" t="s">
        <v>584</v>
      </c>
      <c r="B104" s="41">
        <f>B102*B103</f>
        <v>4000000</v>
      </c>
      <c r="C104" s="5" t="s">
        <v>589</v>
      </c>
      <c r="E104" s="137">
        <f>16777216-1</f>
        <v>16777215</v>
      </c>
      <c r="F104" s="128" t="s">
        <v>591</v>
      </c>
      <c r="H104" s="137">
        <f>16384*16384-1</f>
        <v>268435455</v>
      </c>
      <c r="I104" s="128" t="s">
        <v>591</v>
      </c>
    </row>
    <row r="105" spans="1:9">
      <c r="A105" t="s">
        <v>214</v>
      </c>
      <c r="B105" s="136">
        <v>2</v>
      </c>
      <c r="C105" s="5" t="s">
        <v>593</v>
      </c>
      <c r="E105" s="1">
        <f>E104/$B104</f>
        <v>4.1943037500000004</v>
      </c>
      <c r="F105" s="139" t="s">
        <v>601</v>
      </c>
      <c r="H105" s="1">
        <f>H104/$B104</f>
        <v>67.108863749999998</v>
      </c>
      <c r="I105" s="139" t="s">
        <v>601</v>
      </c>
    </row>
    <row r="106" spans="1:9">
      <c r="A106" t="s">
        <v>585</v>
      </c>
      <c r="B106" s="136">
        <v>6</v>
      </c>
      <c r="C106" s="5" t="s">
        <v>588</v>
      </c>
      <c r="E106" s="1">
        <f>E105*$B105</f>
        <v>8.3886075000000009</v>
      </c>
      <c r="F106" s="139" t="s">
        <v>594</v>
      </c>
      <c r="H106" s="1">
        <f>H105*$B105</f>
        <v>134.2177275</v>
      </c>
      <c r="I106" s="139" t="s">
        <v>594</v>
      </c>
    </row>
    <row r="107" spans="1:9">
      <c r="B107" s="136">
        <v>60</v>
      </c>
      <c r="C107" s="5" t="s">
        <v>587</v>
      </c>
      <c r="E107" s="1">
        <f>E106*$B106</f>
        <v>50.331645000000009</v>
      </c>
      <c r="F107" s="139" t="s">
        <v>599</v>
      </c>
      <c r="H107" s="1">
        <f>H106*$B106</f>
        <v>805.30636499999991</v>
      </c>
      <c r="I107" s="139" t="s">
        <v>599</v>
      </c>
    </row>
    <row r="108" spans="1:9">
      <c r="A108" t="s">
        <v>582</v>
      </c>
      <c r="B108" s="135"/>
      <c r="C108" s="135" t="s">
        <v>597</v>
      </c>
      <c r="E108" s="1">
        <f>E107/$B107</f>
        <v>0.83886075000000015</v>
      </c>
      <c r="F108" s="5" t="s">
        <v>598</v>
      </c>
      <c r="H108" s="1">
        <f>H107/$B107</f>
        <v>13.421772749999999</v>
      </c>
      <c r="I108" s="5" t="s">
        <v>598</v>
      </c>
    </row>
    <row r="109" spans="1:9">
      <c r="B109" s="135">
        <v>1000</v>
      </c>
      <c r="C109" s="135" t="s">
        <v>596</v>
      </c>
      <c r="F109" s="5"/>
      <c r="H109" s="1"/>
      <c r="I109" s="5"/>
    </row>
    <row r="110" spans="1:9">
      <c r="A110" t="s">
        <v>590</v>
      </c>
      <c r="B110" s="6"/>
      <c r="C110" s="5" t="s">
        <v>600</v>
      </c>
      <c r="E110" s="1">
        <f>$B109/E108</f>
        <v>1192.0929665620902</v>
      </c>
      <c r="F110" s="5" t="s">
        <v>600</v>
      </c>
      <c r="H110" s="1">
        <f>$B109/H108</f>
        <v>74.505806246794052</v>
      </c>
      <c r="I110" s="5" t="s">
        <v>600</v>
      </c>
    </row>
    <row r="111" spans="1:9">
      <c r="A111" t="s">
        <v>613</v>
      </c>
      <c r="B111" s="7">
        <f>B100/B101/B106*B107/256</f>
        <v>610.3515625</v>
      </c>
      <c r="C111" s="5" t="s">
        <v>38</v>
      </c>
      <c r="F111" s="5"/>
      <c r="H111" s="1"/>
      <c r="I111" s="5"/>
    </row>
    <row r="112" spans="1:9">
      <c r="A112" t="s">
        <v>617</v>
      </c>
      <c r="B112" s="140">
        <v>18</v>
      </c>
      <c r="C112" s="5" t="s">
        <v>619</v>
      </c>
      <c r="F112" s="5"/>
      <c r="H112" s="1"/>
      <c r="I112" s="5"/>
    </row>
    <row r="113" spans="1:15">
      <c r="A113" t="s">
        <v>618</v>
      </c>
      <c r="B113" s="7">
        <f>B104*B112/1000000</f>
        <v>72</v>
      </c>
      <c r="C113" s="5" t="s">
        <v>585</v>
      </c>
      <c r="D113" s="1" t="s">
        <v>630</v>
      </c>
      <c r="F113" s="5"/>
      <c r="H113" s="1"/>
      <c r="I113" s="5"/>
    </row>
    <row r="114" spans="1:15">
      <c r="A114" t="s">
        <v>622</v>
      </c>
      <c r="B114" s="7">
        <v>24</v>
      </c>
      <c r="C114" s="5" t="s">
        <v>585</v>
      </c>
      <c r="D114" s="1" t="s">
        <v>626</v>
      </c>
      <c r="F114" s="5"/>
      <c r="H114" s="1"/>
      <c r="I114" s="5"/>
    </row>
    <row r="115" spans="1:15">
      <c r="A115" t="s">
        <v>620</v>
      </c>
      <c r="B115" s="140">
        <f>B113/B114</f>
        <v>3</v>
      </c>
      <c r="C115" s="5"/>
      <c r="D115" s="1" t="s">
        <v>632</v>
      </c>
      <c r="F115" s="5"/>
      <c r="H115" s="1"/>
      <c r="I115" s="5"/>
    </row>
    <row r="116" spans="1:15">
      <c r="D116" s="1" t="s">
        <v>636</v>
      </c>
    </row>
    <row r="117" spans="1:15">
      <c r="D117" s="1" t="s">
        <v>637</v>
      </c>
    </row>
    <row r="119" spans="1:15">
      <c r="A119" s="300" t="s">
        <v>640</v>
      </c>
      <c r="B119" s="300"/>
      <c r="E119" s="139" t="s">
        <v>592</v>
      </c>
      <c r="H119" s="136" t="s">
        <v>616</v>
      </c>
    </row>
    <row r="120" spans="1:15">
      <c r="A120" s="58" t="s">
        <v>610</v>
      </c>
      <c r="B120" s="41">
        <v>4000000</v>
      </c>
      <c r="C120" s="5" t="s">
        <v>589</v>
      </c>
      <c r="E120" s="139"/>
      <c r="H120" s="136"/>
    </row>
    <row r="121" spans="1:15">
      <c r="A121" s="58" t="s">
        <v>611</v>
      </c>
      <c r="B121" s="145">
        <f>D121</f>
        <v>1</v>
      </c>
      <c r="C121" t="s">
        <v>623</v>
      </c>
      <c r="D121" s="34">
        <v>1</v>
      </c>
      <c r="E121" s="139"/>
      <c r="F121" s="128"/>
      <c r="H121" s="136"/>
    </row>
    <row r="122" spans="1:15">
      <c r="A122" t="s">
        <v>584</v>
      </c>
      <c r="B122" s="41">
        <f>B120/B121</f>
        <v>4000000</v>
      </c>
      <c r="C122" s="5" t="s">
        <v>589</v>
      </c>
      <c r="E122" s="137">
        <f>16777216-1</f>
        <v>16777215</v>
      </c>
      <c r="F122" s="128" t="s">
        <v>591</v>
      </c>
      <c r="H122" s="137">
        <f>16384*16384-1</f>
        <v>268435455</v>
      </c>
      <c r="I122" s="128" t="s">
        <v>591</v>
      </c>
      <c r="M122" s="1" t="s">
        <v>657</v>
      </c>
      <c r="N122"/>
      <c r="O122" s="139" t="s">
        <v>658</v>
      </c>
    </row>
    <row r="123" spans="1:15">
      <c r="A123" t="s">
        <v>214</v>
      </c>
      <c r="B123" s="136">
        <v>2</v>
      </c>
      <c r="C123" s="5" t="s">
        <v>593</v>
      </c>
      <c r="E123" s="1">
        <f>E122/$B122</f>
        <v>4.1943037500000004</v>
      </c>
      <c r="F123" s="139" t="s">
        <v>601</v>
      </c>
      <c r="H123" s="1">
        <f>H122/$B122</f>
        <v>67.108863749999998</v>
      </c>
      <c r="I123" s="139" t="s">
        <v>601</v>
      </c>
      <c r="M123" s="1" t="s">
        <v>659</v>
      </c>
      <c r="N123"/>
      <c r="O123" s="1" t="s">
        <v>660</v>
      </c>
    </row>
    <row r="124" spans="1:15">
      <c r="A124" t="s">
        <v>585</v>
      </c>
      <c r="B124" s="136">
        <v>6</v>
      </c>
      <c r="C124" s="5" t="s">
        <v>588</v>
      </c>
      <c r="E124" s="1">
        <f>E123*$B123</f>
        <v>8.3886075000000009</v>
      </c>
      <c r="F124" s="139" t="s">
        <v>594</v>
      </c>
      <c r="H124" s="1">
        <f>H123*$B123</f>
        <v>134.2177275</v>
      </c>
      <c r="I124" s="139" t="s">
        <v>594</v>
      </c>
      <c r="M124" s="139" t="s">
        <v>661</v>
      </c>
      <c r="N124"/>
      <c r="O124" s="139" t="s">
        <v>662</v>
      </c>
    </row>
    <row r="125" spans="1:15">
      <c r="B125" s="136">
        <v>60</v>
      </c>
      <c r="C125" s="5" t="s">
        <v>587</v>
      </c>
      <c r="E125" s="1">
        <f>E124*$B124</f>
        <v>50.331645000000009</v>
      </c>
      <c r="F125" s="139" t="s">
        <v>599</v>
      </c>
      <c r="H125" s="1">
        <f>H124*$B124</f>
        <v>805.30636499999991</v>
      </c>
      <c r="I125" s="139" t="s">
        <v>599</v>
      </c>
    </row>
    <row r="126" spans="1:15">
      <c r="A126" t="s">
        <v>582</v>
      </c>
      <c r="B126" s="135"/>
      <c r="C126" s="135" t="s">
        <v>597</v>
      </c>
      <c r="E126" s="1">
        <f>E125/$B125</f>
        <v>0.83886075000000015</v>
      </c>
      <c r="F126" s="5" t="s">
        <v>598</v>
      </c>
      <c r="H126" s="1">
        <f>H125/$B125</f>
        <v>13.421772749999999</v>
      </c>
      <c r="I126" s="5" t="s">
        <v>598</v>
      </c>
    </row>
    <row r="127" spans="1:15">
      <c r="B127" s="135">
        <v>1000</v>
      </c>
      <c r="C127" s="135" t="s">
        <v>596</v>
      </c>
      <c r="F127" s="5"/>
      <c r="H127" s="1"/>
      <c r="I127" s="5"/>
    </row>
    <row r="128" spans="1:15">
      <c r="A128" t="s">
        <v>590</v>
      </c>
      <c r="B128" s="6"/>
      <c r="C128" s="5" t="s">
        <v>600</v>
      </c>
      <c r="E128" s="1">
        <f>$B127/E126</f>
        <v>1192.0929665620902</v>
      </c>
      <c r="F128" s="5" t="s">
        <v>600</v>
      </c>
      <c r="H128" s="1">
        <f>$B127/H126</f>
        <v>74.505806246794052</v>
      </c>
      <c r="I128" s="5" t="s">
        <v>600</v>
      </c>
    </row>
    <row r="129" spans="1:9">
      <c r="A129" t="s">
        <v>639</v>
      </c>
      <c r="B129" s="7">
        <f>B122/B124*B125/65536</f>
        <v>610.3515625</v>
      </c>
      <c r="C129" s="5" t="s">
        <v>38</v>
      </c>
      <c r="F129" s="5"/>
      <c r="H129" s="1"/>
      <c r="I129" s="5"/>
    </row>
    <row r="130" spans="1:9">
      <c r="A130" t="s">
        <v>617</v>
      </c>
      <c r="B130" s="140">
        <v>20</v>
      </c>
      <c r="C130" s="5" t="s">
        <v>619</v>
      </c>
      <c r="F130" s="5"/>
      <c r="H130" s="1"/>
      <c r="I130" s="5"/>
    </row>
    <row r="131" spans="1:9">
      <c r="A131" t="s">
        <v>618</v>
      </c>
      <c r="B131" s="7">
        <f>B122*B130/1000000</f>
        <v>80</v>
      </c>
      <c r="C131" s="5" t="s">
        <v>585</v>
      </c>
      <c r="D131" s="1" t="s">
        <v>642</v>
      </c>
      <c r="F131" s="5"/>
      <c r="H131" s="1"/>
      <c r="I131" s="5"/>
    </row>
    <row r="132" spans="1:9">
      <c r="A132" t="s">
        <v>622</v>
      </c>
      <c r="B132" s="7">
        <v>24</v>
      </c>
      <c r="C132" s="5" t="s">
        <v>585</v>
      </c>
      <c r="D132" s="1" t="s">
        <v>626</v>
      </c>
      <c r="F132" s="5"/>
      <c r="H132" s="1"/>
      <c r="I132" s="5"/>
    </row>
    <row r="133" spans="1:9">
      <c r="A133" t="s">
        <v>620</v>
      </c>
      <c r="B133" s="140">
        <f>B131/B132</f>
        <v>3.3333333333333335</v>
      </c>
      <c r="C133" s="5"/>
      <c r="D133" s="1" t="s">
        <v>643</v>
      </c>
      <c r="F133" s="5"/>
      <c r="H133" s="1"/>
      <c r="I133" s="5"/>
    </row>
    <row r="134" spans="1:9">
      <c r="D134" s="1" t="s">
        <v>644</v>
      </c>
    </row>
    <row r="135" spans="1:9">
      <c r="D135" s="1" t="s">
        <v>645</v>
      </c>
    </row>
    <row r="137" spans="1:9">
      <c r="A137" s="300" t="s">
        <v>609</v>
      </c>
      <c r="B137" s="300"/>
      <c r="E137" s="139" t="s">
        <v>592</v>
      </c>
      <c r="H137" s="136" t="s">
        <v>616</v>
      </c>
    </row>
    <row r="138" spans="1:9">
      <c r="A138" s="58" t="s">
        <v>612</v>
      </c>
      <c r="B138" s="41">
        <v>32768</v>
      </c>
      <c r="C138" s="5" t="s">
        <v>589</v>
      </c>
      <c r="E138" s="139"/>
      <c r="H138" s="136"/>
    </row>
    <row r="139" spans="1:9">
      <c r="A139" s="58" t="s">
        <v>614</v>
      </c>
      <c r="B139" s="47">
        <f>256</f>
        <v>256</v>
      </c>
      <c r="E139" s="139"/>
      <c r="H139" s="136"/>
    </row>
    <row r="140" spans="1:9">
      <c r="A140" t="s">
        <v>584</v>
      </c>
      <c r="B140" s="41">
        <f>B138*B139</f>
        <v>8388608</v>
      </c>
      <c r="C140" s="5" t="s">
        <v>589</v>
      </c>
      <c r="E140" s="137">
        <f>16777216-1</f>
        <v>16777215</v>
      </c>
      <c r="F140" s="128" t="s">
        <v>591</v>
      </c>
      <c r="H140" s="137">
        <f>16384*16384-1</f>
        <v>268435455</v>
      </c>
      <c r="I140" s="128" t="s">
        <v>591</v>
      </c>
    </row>
    <row r="141" spans="1:9">
      <c r="A141" t="s">
        <v>214</v>
      </c>
      <c r="B141" s="136">
        <v>2</v>
      </c>
      <c r="C141" s="5" t="s">
        <v>593</v>
      </c>
      <c r="E141" s="1">
        <f>E140/$B140</f>
        <v>1.9999998807907104</v>
      </c>
      <c r="F141" s="139" t="s">
        <v>601</v>
      </c>
      <c r="H141" s="1">
        <f>H140/$B140</f>
        <v>31.99999988079071</v>
      </c>
      <c r="I141" s="139" t="s">
        <v>601</v>
      </c>
    </row>
    <row r="142" spans="1:9">
      <c r="A142" t="s">
        <v>585</v>
      </c>
      <c r="B142" s="136">
        <v>6</v>
      </c>
      <c r="C142" s="5" t="s">
        <v>588</v>
      </c>
      <c r="E142" s="1">
        <f>E141*$B141</f>
        <v>3.9999997615814209</v>
      </c>
      <c r="F142" s="139" t="s">
        <v>594</v>
      </c>
      <c r="H142" s="1">
        <f>H141*$B141</f>
        <v>63.999999761581421</v>
      </c>
      <c r="I142" s="139" t="s">
        <v>594</v>
      </c>
    </row>
    <row r="143" spans="1:9">
      <c r="B143" s="136">
        <v>60</v>
      </c>
      <c r="C143" s="5" t="s">
        <v>587</v>
      </c>
      <c r="E143" s="1">
        <f>E142*$B142</f>
        <v>23.999998569488525</v>
      </c>
      <c r="F143" s="139" t="s">
        <v>599</v>
      </c>
      <c r="H143" s="1">
        <f>H142*$B142</f>
        <v>383.99999856948853</v>
      </c>
      <c r="I143" s="139" t="s">
        <v>599</v>
      </c>
    </row>
    <row r="144" spans="1:9">
      <c r="A144" t="s">
        <v>582</v>
      </c>
      <c r="B144" s="135"/>
      <c r="C144" s="135" t="s">
        <v>597</v>
      </c>
      <c r="E144" s="1">
        <f>E143/$B143</f>
        <v>0.39999997615814209</v>
      </c>
      <c r="F144" s="5" t="s">
        <v>598</v>
      </c>
      <c r="H144" s="1">
        <f>H143/$B143</f>
        <v>6.3999999761581421</v>
      </c>
      <c r="I144" s="5" t="s">
        <v>598</v>
      </c>
    </row>
    <row r="145" spans="1:9">
      <c r="B145" s="135">
        <v>1000</v>
      </c>
      <c r="C145" s="135" t="s">
        <v>596</v>
      </c>
      <c r="F145" s="5"/>
      <c r="H145" s="1"/>
      <c r="I145" s="5"/>
    </row>
    <row r="146" spans="1:9">
      <c r="A146" t="s">
        <v>590</v>
      </c>
      <c r="B146" s="6"/>
      <c r="C146" s="5" t="s">
        <v>600</v>
      </c>
      <c r="E146" s="1">
        <f>$B145/E144</f>
        <v>2500.000149011621</v>
      </c>
      <c r="F146" s="5" t="s">
        <v>600</v>
      </c>
      <c r="H146" s="1">
        <f>$B145/H144</f>
        <v>156.25000058207661</v>
      </c>
      <c r="I146" s="5" t="s">
        <v>600</v>
      </c>
    </row>
    <row r="147" spans="1:9">
      <c r="A147" t="s">
        <v>613</v>
      </c>
      <c r="B147" s="7">
        <f>B138/B142*B143/256</f>
        <v>1280</v>
      </c>
      <c r="C147" s="5" t="s">
        <v>38</v>
      </c>
    </row>
    <row r="148" spans="1:9">
      <c r="A148" t="s">
        <v>615</v>
      </c>
      <c r="B148" s="7">
        <f>B138/B142*B143/16384</f>
        <v>20</v>
      </c>
      <c r="C148" s="5" t="s">
        <v>38</v>
      </c>
    </row>
    <row r="149" spans="1:9">
      <c r="A149" t="s">
        <v>617</v>
      </c>
      <c r="B149" s="140">
        <f>1000000/$B138</f>
        <v>30.517578125</v>
      </c>
      <c r="C149" s="5" t="s">
        <v>619</v>
      </c>
      <c r="D149" s="140"/>
      <c r="E149" s="140"/>
    </row>
    <row r="150" spans="1:9">
      <c r="A150" t="s">
        <v>618</v>
      </c>
      <c r="B150" s="7">
        <f>B140*B149/1000000</f>
        <v>256</v>
      </c>
      <c r="C150" s="5" t="s">
        <v>585</v>
      </c>
      <c r="D150" s="1" t="s">
        <v>631</v>
      </c>
    </row>
    <row r="151" spans="1:9">
      <c r="A151" t="s">
        <v>622</v>
      </c>
      <c r="B151" s="7">
        <v>24</v>
      </c>
      <c r="C151" s="5" t="s">
        <v>585</v>
      </c>
      <c r="D151" s="1" t="s">
        <v>626</v>
      </c>
      <c r="F151" s="5"/>
      <c r="H151" s="1"/>
      <c r="I151" s="5"/>
    </row>
    <row r="152" spans="1:9">
      <c r="A152" t="s">
        <v>620</v>
      </c>
      <c r="B152" s="140">
        <f>B150/B151</f>
        <v>10.666666666666666</v>
      </c>
      <c r="C152" s="5"/>
      <c r="D152" s="1" t="s">
        <v>633</v>
      </c>
      <c r="F152" s="5"/>
      <c r="H152" s="1"/>
      <c r="I152" s="5"/>
    </row>
    <row r="153" spans="1:9">
      <c r="A153" s="141" t="s">
        <v>627</v>
      </c>
      <c r="B153" s="142">
        <f>ROUND(B152,0)</f>
        <v>11</v>
      </c>
      <c r="D153" s="1" t="s">
        <v>634</v>
      </c>
    </row>
    <row r="154" spans="1:9">
      <c r="A154" s="143" t="s">
        <v>628</v>
      </c>
      <c r="B154" s="144">
        <f>(B152-B153)/B153</f>
        <v>-3.0303030303030356E-2</v>
      </c>
      <c r="D154" s="1" t="s">
        <v>635</v>
      </c>
    </row>
    <row r="155" spans="1:9">
      <c r="D155" s="146" t="s">
        <v>638</v>
      </c>
    </row>
    <row r="157" spans="1:9">
      <c r="A157" t="s">
        <v>646</v>
      </c>
    </row>
    <row r="158" spans="1:9">
      <c r="A158" t="s">
        <v>647</v>
      </c>
    </row>
    <row r="159" spans="1:9">
      <c r="A159" t="s">
        <v>648</v>
      </c>
    </row>
    <row r="160" spans="1:9">
      <c r="A160" t="s">
        <v>649</v>
      </c>
      <c r="B160" s="6">
        <v>8000000</v>
      </c>
      <c r="C160" s="6">
        <v>12000000</v>
      </c>
      <c r="D160" s="6">
        <v>16000000</v>
      </c>
      <c r="E160" s="5" t="s">
        <v>651</v>
      </c>
    </row>
    <row r="161" spans="1:7">
      <c r="A161" t="s">
        <v>652</v>
      </c>
      <c r="B161" s="6">
        <v>12</v>
      </c>
      <c r="C161" s="6">
        <v>8</v>
      </c>
      <c r="D161" s="6">
        <v>6</v>
      </c>
      <c r="E161"/>
    </row>
    <row r="162" spans="1:7">
      <c r="A162" t="s">
        <v>650</v>
      </c>
      <c r="B162" s="70">
        <f>B160*B161/1024/1024</f>
        <v>91.552734375</v>
      </c>
      <c r="C162" s="70">
        <f>C160*C161/1024/1024</f>
        <v>91.552734375</v>
      </c>
      <c r="D162" s="70">
        <f>D160*D161/1024/1024</f>
        <v>91.552734375</v>
      </c>
      <c r="E162" s="5" t="s">
        <v>651</v>
      </c>
    </row>
    <row r="163" spans="1:7">
      <c r="A163" t="s">
        <v>654</v>
      </c>
      <c r="B163" s="6">
        <v>32768</v>
      </c>
      <c r="C163" s="6">
        <v>32768</v>
      </c>
      <c r="D163" s="6">
        <v>32768</v>
      </c>
      <c r="E163" s="5" t="s">
        <v>651</v>
      </c>
    </row>
    <row r="164" spans="1:7">
      <c r="A164" t="s">
        <v>653</v>
      </c>
      <c r="B164" s="70">
        <f>B163/B162</f>
        <v>357.91394133333336</v>
      </c>
      <c r="C164" s="70">
        <f>C163/C162</f>
        <v>357.91394133333336</v>
      </c>
      <c r="D164" s="70">
        <f>D163/D162</f>
        <v>357.91394133333336</v>
      </c>
      <c r="E164"/>
    </row>
    <row r="165" spans="1:7">
      <c r="A165" t="s">
        <v>655</v>
      </c>
      <c r="B165" s="70">
        <f>B164/64</f>
        <v>5.5924053333333337</v>
      </c>
      <c r="C165" s="70">
        <f>C164/64</f>
        <v>5.5924053333333337</v>
      </c>
      <c r="D165" s="70">
        <f>D164/64</f>
        <v>5.5924053333333337</v>
      </c>
    </row>
    <row r="166" spans="1:7">
      <c r="A166" s="46" t="s">
        <v>656</v>
      </c>
    </row>
    <row r="169" spans="1:7">
      <c r="B169" s="70" t="s">
        <v>793</v>
      </c>
      <c r="C169" t="s">
        <v>792</v>
      </c>
      <c r="D169" s="1" t="s">
        <v>791</v>
      </c>
      <c r="E169" s="1" t="s">
        <v>794</v>
      </c>
    </row>
    <row r="170" spans="1:7">
      <c r="A170" t="s">
        <v>788</v>
      </c>
      <c r="B170" s="232">
        <f>D170/86400</f>
        <v>0.99726957175925923</v>
      </c>
      <c r="C170" s="47">
        <f>D170/60</f>
        <v>1436.0681833333333</v>
      </c>
      <c r="D170" s="233">
        <v>86164.091</v>
      </c>
      <c r="E170" s="234">
        <f>1/C170</f>
        <v>6.9634576659086437E-4</v>
      </c>
    </row>
    <row r="171" spans="1:7">
      <c r="A171" t="s">
        <v>789</v>
      </c>
      <c r="B171" s="232">
        <v>365.24220000000003</v>
      </c>
      <c r="C171" s="47">
        <f>B171*1440</f>
        <v>525948.76800000004</v>
      </c>
      <c r="D171" s="145">
        <f>B171*86400</f>
        <v>31556926.080000002</v>
      </c>
      <c r="E171" s="234">
        <f t="shared" ref="E171:E172" si="212">1/C171</f>
        <v>1.901325872104714E-6</v>
      </c>
    </row>
    <row r="172" spans="1:7">
      <c r="A172" t="s">
        <v>790</v>
      </c>
      <c r="B172" s="232">
        <v>27.321661550000002</v>
      </c>
      <c r="C172" s="47">
        <f>B172*1440</f>
        <v>39343.192632000006</v>
      </c>
      <c r="D172" s="145">
        <f>B172*86400</f>
        <v>2360591.5579200001</v>
      </c>
      <c r="E172" s="234">
        <f t="shared" si="212"/>
        <v>2.5417357695233009E-5</v>
      </c>
    </row>
    <row r="173" spans="1:7">
      <c r="C173" t="s">
        <v>792</v>
      </c>
      <c r="E173" s="234"/>
    </row>
    <row r="174" spans="1:7">
      <c r="A174" t="s">
        <v>795</v>
      </c>
      <c r="C174" s="70">
        <f>1/E174</f>
        <v>1440.00000772558</v>
      </c>
      <c r="E174" s="234">
        <f>E170-E171</f>
        <v>6.9444444071875967E-4</v>
      </c>
    </row>
    <row r="175" spans="1:7">
      <c r="A175" t="s">
        <v>796</v>
      </c>
      <c r="C175" s="70">
        <f>1/E175</f>
        <v>1490.4719888758782</v>
      </c>
      <c r="E175" s="234">
        <f>E170-E172</f>
        <v>6.7092840889563133E-4</v>
      </c>
    </row>
    <row r="176" spans="1:7">
      <c r="C176" t="s">
        <v>792</v>
      </c>
      <c r="D176" s="34"/>
      <c r="F176" s="34">
        <v>65536</v>
      </c>
      <c r="G176" s="34"/>
    </row>
    <row r="177" spans="1:9">
      <c r="A177" t="s">
        <v>797</v>
      </c>
      <c r="C177">
        <f>C174/C170</f>
        <v>1.0027379092705198</v>
      </c>
      <c r="D177" s="34"/>
      <c r="E177" s="231">
        <f>E174/E170</f>
        <v>0.99726956640892195</v>
      </c>
      <c r="F177" s="34">
        <f>C177*F176</f>
        <v>65715.431621952783</v>
      </c>
      <c r="G177" s="34">
        <f>F177-F176</f>
        <v>179.43162195278273</v>
      </c>
      <c r="H177" s="6" t="str">
        <f>_xlfn.BASE(ROUND(F177,0),2,17)</f>
        <v>10000000010110011</v>
      </c>
    </row>
    <row r="178" spans="1:9">
      <c r="A178" t="s">
        <v>798</v>
      </c>
      <c r="C178">
        <f>C175/C170</f>
        <v>1.0378838596759838</v>
      </c>
      <c r="D178" s="34"/>
      <c r="E178" s="231">
        <f>E175/E170</f>
        <v>0.96349894130947311</v>
      </c>
      <c r="F178" s="34">
        <f>C178*F176</f>
        <v>68018.756627725277</v>
      </c>
      <c r="G178" s="34">
        <f>F178-F176</f>
        <v>2482.7566277252772</v>
      </c>
      <c r="H178" s="6" t="str">
        <f>_xlfn.BASE(ROUND(F178,0),2,17)</f>
        <v>10000100110110011</v>
      </c>
    </row>
    <row r="182" spans="1:9">
      <c r="B182" s="6"/>
      <c r="C182" s="235"/>
      <c r="D182" s="235"/>
      <c r="E182" s="235"/>
      <c r="F182" s="235"/>
    </row>
    <row r="183" spans="1:9">
      <c r="A183" t="s">
        <v>799</v>
      </c>
      <c r="B183" s="6">
        <v>7</v>
      </c>
      <c r="C183" s="235"/>
      <c r="D183" s="235" t="s">
        <v>474</v>
      </c>
      <c r="E183" s="235">
        <v>11</v>
      </c>
      <c r="F183" s="235"/>
    </row>
    <row r="184" spans="1:9">
      <c r="B184" s="6"/>
      <c r="C184" s="235"/>
      <c r="D184" s="235" t="s">
        <v>801</v>
      </c>
      <c r="E184" s="235" t="s">
        <v>800</v>
      </c>
      <c r="F184" s="235"/>
      <c r="H184" s="5" t="s">
        <v>806</v>
      </c>
      <c r="I184" s="268" t="s">
        <v>628</v>
      </c>
    </row>
    <row r="185" spans="1:9">
      <c r="A185" t="s">
        <v>803</v>
      </c>
      <c r="B185" s="6">
        <v>7</v>
      </c>
      <c r="C185" s="269" t="s">
        <v>135</v>
      </c>
      <c r="D185" s="269" t="s">
        <v>135</v>
      </c>
      <c r="E185" s="269" t="s">
        <v>135</v>
      </c>
      <c r="F185" s="269" t="s">
        <v>135</v>
      </c>
      <c r="G185" s="1">
        <f>B185</f>
        <v>7</v>
      </c>
      <c r="H185" s="6">
        <v>0</v>
      </c>
      <c r="I185" s="268">
        <v>0</v>
      </c>
    </row>
    <row r="186" spans="1:9">
      <c r="A186" t="s">
        <v>804</v>
      </c>
      <c r="B186" s="6">
        <v>6</v>
      </c>
      <c r="C186" s="235">
        <f>$E$183*B186/($B$183-B186)</f>
        <v>66</v>
      </c>
      <c r="D186" s="235">
        <f t="shared" ref="D186:D191" si="213">C186-C187</f>
        <v>38.5</v>
      </c>
      <c r="E186" s="235">
        <v>39</v>
      </c>
      <c r="F186" s="235">
        <f t="shared" ref="F186:F191" si="214">F187+E186</f>
        <v>66.599999999999994</v>
      </c>
      <c r="G186" s="1">
        <f t="shared" ref="G186:G192" si="215">$B$183*F186/(F186+$E$183)</f>
        <v>6.0077319587628866</v>
      </c>
      <c r="H186" s="6">
        <f t="shared" ref="H186:H192" si="216">5000/($E$195+F186)</f>
        <v>64.432989690721655</v>
      </c>
      <c r="I186" s="268">
        <f t="shared" ref="I186:I191" si="217">G186/B186-1</f>
        <v>1.2886597938144284E-3</v>
      </c>
    </row>
    <row r="187" spans="1:9">
      <c r="A187" t="s">
        <v>805</v>
      </c>
      <c r="B187" s="6">
        <v>5</v>
      </c>
      <c r="C187" s="235">
        <f t="shared" ref="C187:C192" si="218">$E$183*B187/($B$183-B187)</f>
        <v>27.5</v>
      </c>
      <c r="D187" s="235">
        <f t="shared" si="213"/>
        <v>12.833333333333334</v>
      </c>
      <c r="E187" s="235">
        <v>13</v>
      </c>
      <c r="F187" s="235">
        <f t="shared" si="214"/>
        <v>27.6</v>
      </c>
      <c r="G187" s="1">
        <f t="shared" si="215"/>
        <v>5.0051813471502591</v>
      </c>
      <c r="H187" s="6">
        <f t="shared" si="216"/>
        <v>129.53367875647669</v>
      </c>
      <c r="I187" s="268">
        <f t="shared" si="217"/>
        <v>1.0362694300518616E-3</v>
      </c>
    </row>
    <row r="188" spans="1:9">
      <c r="B188" s="6">
        <v>4</v>
      </c>
      <c r="C188" s="235">
        <f t="shared" si="218"/>
        <v>14.666666666666666</v>
      </c>
      <c r="D188" s="8">
        <f t="shared" si="213"/>
        <v>6.4166666666666661</v>
      </c>
      <c r="E188" s="8">
        <v>6.2</v>
      </c>
      <c r="F188" s="235">
        <f t="shared" si="214"/>
        <v>14.600000000000001</v>
      </c>
      <c r="G188" s="1">
        <f t="shared" si="215"/>
        <v>3.9921875000000004</v>
      </c>
      <c r="H188" s="6">
        <f t="shared" si="216"/>
        <v>195.3125</v>
      </c>
      <c r="I188" s="268">
        <f t="shared" si="217"/>
        <v>-1.953124999999889E-3</v>
      </c>
    </row>
    <row r="189" spans="1:9">
      <c r="B189" s="6">
        <v>3</v>
      </c>
      <c r="C189" s="235">
        <f t="shared" si="218"/>
        <v>8.25</v>
      </c>
      <c r="D189" s="8">
        <f t="shared" si="213"/>
        <v>3.8499999999999996</v>
      </c>
      <c r="E189" s="8">
        <v>3.9</v>
      </c>
      <c r="F189" s="235">
        <f t="shared" si="214"/>
        <v>8.4</v>
      </c>
      <c r="G189" s="1">
        <f t="shared" si="215"/>
        <v>3.0309278350515467</v>
      </c>
      <c r="H189" s="6">
        <f t="shared" ref="H189" si="219">5000/($E$195+F189)</f>
        <v>257.73195876288662</v>
      </c>
      <c r="I189" s="268">
        <f t="shared" si="217"/>
        <v>1.0309278350515649E-2</v>
      </c>
    </row>
    <row r="190" spans="1:9">
      <c r="B190" s="6">
        <v>2</v>
      </c>
      <c r="C190" s="235">
        <f t="shared" si="218"/>
        <v>4.4000000000000004</v>
      </c>
      <c r="D190" s="8">
        <f t="shared" si="213"/>
        <v>2.5666666666666673</v>
      </c>
      <c r="E190" s="8">
        <v>2.7</v>
      </c>
      <c r="F190" s="235">
        <f t="shared" si="214"/>
        <v>4.5</v>
      </c>
      <c r="G190" s="1">
        <f t="shared" si="215"/>
        <v>2.032258064516129</v>
      </c>
      <c r="H190" s="6">
        <f t="shared" si="216"/>
        <v>322.58064516129031</v>
      </c>
      <c r="I190" s="268">
        <f t="shared" si="217"/>
        <v>1.6129032258064502E-2</v>
      </c>
    </row>
    <row r="191" spans="1:9">
      <c r="A191" t="s">
        <v>349</v>
      </c>
      <c r="B191" s="6">
        <v>1</v>
      </c>
      <c r="C191" s="235">
        <f t="shared" si="218"/>
        <v>1.8333333333333333</v>
      </c>
      <c r="D191" s="8">
        <f t="shared" si="213"/>
        <v>1.8333333333333333</v>
      </c>
      <c r="E191" s="8">
        <v>1.8</v>
      </c>
      <c r="F191" s="235">
        <f t="shared" si="214"/>
        <v>1.8</v>
      </c>
      <c r="G191" s="1">
        <f t="shared" si="215"/>
        <v>0.98437499999999989</v>
      </c>
      <c r="H191" s="6">
        <f t="shared" si="216"/>
        <v>390.625</v>
      </c>
      <c r="I191" s="268">
        <f t="shared" si="217"/>
        <v>-1.5625000000000111E-2</v>
      </c>
    </row>
    <row r="192" spans="1:9">
      <c r="A192" t="s">
        <v>802</v>
      </c>
      <c r="B192" s="6">
        <v>0</v>
      </c>
      <c r="C192" s="235">
        <f t="shared" si="218"/>
        <v>0</v>
      </c>
      <c r="D192" s="8">
        <v>0</v>
      </c>
      <c r="E192" s="8">
        <v>0</v>
      </c>
      <c r="F192" s="235">
        <v>0</v>
      </c>
      <c r="G192" s="1">
        <f t="shared" si="215"/>
        <v>0</v>
      </c>
      <c r="H192" s="6">
        <f t="shared" si="216"/>
        <v>454.54545454545456</v>
      </c>
      <c r="I192" s="268">
        <v>0</v>
      </c>
    </row>
    <row r="193" spans="1:9">
      <c r="B193" s="6"/>
      <c r="C193" s="235"/>
      <c r="D193" s="235"/>
      <c r="E193" s="235"/>
      <c r="F193" s="235"/>
      <c r="I193" s="268"/>
    </row>
    <row r="194" spans="1:9">
      <c r="B194" s="6"/>
      <c r="C194" s="235"/>
      <c r="D194" s="235"/>
      <c r="E194" s="235"/>
      <c r="F194" s="235"/>
      <c r="I194" s="268"/>
    </row>
    <row r="195" spans="1:9">
      <c r="A195" t="s">
        <v>799</v>
      </c>
      <c r="B195" s="6">
        <v>6</v>
      </c>
      <c r="C195" s="235"/>
      <c r="D195" s="235" t="s">
        <v>474</v>
      </c>
      <c r="E195" s="235">
        <v>11</v>
      </c>
      <c r="F195" s="235"/>
    </row>
    <row r="196" spans="1:9">
      <c r="B196" s="6"/>
      <c r="C196" s="235"/>
      <c r="D196" s="235" t="s">
        <v>801</v>
      </c>
      <c r="E196" s="235" t="s">
        <v>800</v>
      </c>
      <c r="F196" s="235"/>
      <c r="H196" s="5" t="s">
        <v>806</v>
      </c>
      <c r="I196" s="268" t="s">
        <v>628</v>
      </c>
    </row>
    <row r="197" spans="1:9">
      <c r="A197" t="s">
        <v>803</v>
      </c>
      <c r="B197" s="6">
        <v>6</v>
      </c>
      <c r="C197" s="269" t="s">
        <v>135</v>
      </c>
      <c r="D197" s="269" t="s">
        <v>135</v>
      </c>
      <c r="E197" s="269" t="s">
        <v>135</v>
      </c>
      <c r="F197" s="269" t="s">
        <v>135</v>
      </c>
      <c r="G197" s="1">
        <f>B197</f>
        <v>6</v>
      </c>
      <c r="H197" s="6">
        <v>0</v>
      </c>
      <c r="I197" s="268">
        <v>0</v>
      </c>
    </row>
    <row r="198" spans="1:9">
      <c r="A198" t="s">
        <v>804</v>
      </c>
      <c r="B198" s="6">
        <v>5</v>
      </c>
      <c r="C198" s="235">
        <f t="shared" ref="C198:C203" si="220">$E$195*B198/($B$195-B198)</f>
        <v>55</v>
      </c>
      <c r="D198" s="235">
        <f>C198-C199</f>
        <v>33</v>
      </c>
      <c r="E198" s="235">
        <v>33</v>
      </c>
      <c r="F198" s="235">
        <f>F199+E198</f>
        <v>55.1</v>
      </c>
      <c r="G198" s="1">
        <f t="shared" ref="G198:G203" si="221">$B$195*F198/(F198+$E$195)</f>
        <v>5.0015128593040856</v>
      </c>
      <c r="H198" s="6">
        <f t="shared" ref="H198:H203" si="222">5000/($E$195+F198)</f>
        <v>75.642965204236006</v>
      </c>
      <c r="I198" s="268">
        <f>G198/B198-1</f>
        <v>3.0257186081716902E-4</v>
      </c>
    </row>
    <row r="199" spans="1:9">
      <c r="A199" t="s">
        <v>805</v>
      </c>
      <c r="B199" s="6">
        <v>4</v>
      </c>
      <c r="C199" s="235">
        <f t="shared" si="220"/>
        <v>22</v>
      </c>
      <c r="D199" s="235">
        <f>C199-C200</f>
        <v>11</v>
      </c>
      <c r="E199" s="235">
        <v>11</v>
      </c>
      <c r="F199" s="235">
        <f>F200+E199</f>
        <v>22.1</v>
      </c>
      <c r="G199" s="1">
        <f t="shared" si="221"/>
        <v>4.0060422960725077</v>
      </c>
      <c r="H199" s="6">
        <f t="shared" si="222"/>
        <v>151.05740181268882</v>
      </c>
      <c r="I199" s="268">
        <f>G199/B199-1</f>
        <v>1.5105740181269312E-3</v>
      </c>
    </row>
    <row r="200" spans="1:9">
      <c r="B200" s="6">
        <v>3</v>
      </c>
      <c r="C200" s="235">
        <f t="shared" si="220"/>
        <v>11</v>
      </c>
      <c r="D200" s="8">
        <f>C200-C201</f>
        <v>5.5</v>
      </c>
      <c r="E200" s="8">
        <v>5.6</v>
      </c>
      <c r="F200" s="235">
        <f>F201+E200</f>
        <v>11.1</v>
      </c>
      <c r="G200" s="1">
        <f t="shared" si="221"/>
        <v>3.0135746606334837</v>
      </c>
      <c r="H200" s="6">
        <f t="shared" si="222"/>
        <v>226.24434389140271</v>
      </c>
      <c r="I200" s="268">
        <f>G200/B200-1</f>
        <v>4.5248868778278162E-3</v>
      </c>
    </row>
    <row r="201" spans="1:9">
      <c r="B201" s="6">
        <v>2</v>
      </c>
      <c r="C201" s="235">
        <f t="shared" si="220"/>
        <v>5.5</v>
      </c>
      <c r="D201" s="8">
        <f>C201-C202</f>
        <v>3.3</v>
      </c>
      <c r="E201" s="8">
        <v>3.3</v>
      </c>
      <c r="F201" s="235">
        <f>F202+E201</f>
        <v>5.5</v>
      </c>
      <c r="G201" s="1">
        <f t="shared" si="221"/>
        <v>2</v>
      </c>
      <c r="H201" s="6">
        <f t="shared" si="222"/>
        <v>303.030303030303</v>
      </c>
      <c r="I201" s="268">
        <f>G201/B201-1</f>
        <v>0</v>
      </c>
    </row>
    <row r="202" spans="1:9">
      <c r="A202" t="s">
        <v>349</v>
      </c>
      <c r="B202" s="6">
        <v>1</v>
      </c>
      <c r="C202" s="235">
        <f t="shared" si="220"/>
        <v>2.2000000000000002</v>
      </c>
      <c r="D202" s="8">
        <f>C202-C203</f>
        <v>2.2000000000000002</v>
      </c>
      <c r="E202" s="8">
        <v>2.2000000000000002</v>
      </c>
      <c r="F202" s="235">
        <f>F203+E202</f>
        <v>2.2000000000000002</v>
      </c>
      <c r="G202" s="1">
        <f t="shared" si="221"/>
        <v>1.0000000000000002</v>
      </c>
      <c r="H202" s="6">
        <f t="shared" si="222"/>
        <v>378.78787878787881</v>
      </c>
      <c r="I202" s="268">
        <f>G202/B202-1</f>
        <v>0</v>
      </c>
    </row>
    <row r="203" spans="1:9">
      <c r="A203" t="s">
        <v>802</v>
      </c>
      <c r="B203" s="6">
        <v>0</v>
      </c>
      <c r="C203" s="235">
        <f t="shared" si="220"/>
        <v>0</v>
      </c>
      <c r="D203" s="8">
        <v>0</v>
      </c>
      <c r="E203" s="8">
        <v>0</v>
      </c>
      <c r="F203" s="235">
        <v>0</v>
      </c>
      <c r="G203" s="1">
        <f t="shared" si="221"/>
        <v>0</v>
      </c>
      <c r="H203" s="6">
        <f t="shared" si="222"/>
        <v>454.54545454545456</v>
      </c>
      <c r="I203" s="268">
        <v>0</v>
      </c>
    </row>
    <row r="204" spans="1:9">
      <c r="B204" s="6"/>
      <c r="C204" s="235"/>
      <c r="D204" s="235"/>
      <c r="E204" s="235"/>
      <c r="F204" s="235"/>
      <c r="I204" s="268"/>
    </row>
    <row r="205" spans="1:9">
      <c r="B205" s="6"/>
      <c r="C205" s="235"/>
      <c r="D205" s="235"/>
      <c r="E205" s="235"/>
      <c r="F205" s="235"/>
      <c r="I205" s="268"/>
    </row>
    <row r="206" spans="1:9">
      <c r="A206" t="s">
        <v>799</v>
      </c>
      <c r="B206" s="6">
        <v>5</v>
      </c>
      <c r="C206" s="235"/>
      <c r="D206" s="235" t="s">
        <v>474</v>
      </c>
      <c r="E206" s="235">
        <v>12</v>
      </c>
      <c r="F206" s="235"/>
      <c r="I206" s="268"/>
    </row>
    <row r="207" spans="1:9">
      <c r="B207" s="6"/>
      <c r="C207" s="235"/>
      <c r="D207" s="235" t="s">
        <v>801</v>
      </c>
      <c r="E207" s="235" t="s">
        <v>800</v>
      </c>
      <c r="F207" s="235"/>
      <c r="H207" s="5" t="s">
        <v>806</v>
      </c>
      <c r="I207" s="268" t="s">
        <v>628</v>
      </c>
    </row>
    <row r="208" spans="1:9">
      <c r="A208" t="s">
        <v>803</v>
      </c>
      <c r="B208" s="6">
        <v>5</v>
      </c>
      <c r="C208" s="269" t="s">
        <v>135</v>
      </c>
      <c r="D208" s="269" t="s">
        <v>135</v>
      </c>
      <c r="E208" s="269" t="s">
        <v>135</v>
      </c>
      <c r="F208" s="269" t="s">
        <v>135</v>
      </c>
      <c r="G208" s="1">
        <f>B208</f>
        <v>5</v>
      </c>
      <c r="H208" s="6">
        <v>0</v>
      </c>
      <c r="I208" s="268">
        <v>0</v>
      </c>
    </row>
    <row r="209" spans="1:11">
      <c r="A209" t="s">
        <v>804</v>
      </c>
      <c r="B209" s="6">
        <v>4</v>
      </c>
      <c r="C209" s="235">
        <f>$E$206*B209/($B$206-B209)</f>
        <v>48</v>
      </c>
      <c r="D209" s="235">
        <f>C209-C210</f>
        <v>30</v>
      </c>
      <c r="E209" s="235">
        <v>30</v>
      </c>
      <c r="F209" s="235">
        <f>F210+E209</f>
        <v>48.1</v>
      </c>
      <c r="G209" s="1">
        <f>$B$206*F209/(F209+$E$206)</f>
        <v>4.0016638935108153</v>
      </c>
      <c r="H209" s="6">
        <f>5000/($E$206+F209)</f>
        <v>83.194675540765388</v>
      </c>
      <c r="I209" s="268">
        <f>G209/B209-1</f>
        <v>4.1597337770382659E-4</v>
      </c>
    </row>
    <row r="210" spans="1:11">
      <c r="A210" t="s">
        <v>805</v>
      </c>
      <c r="B210" s="6">
        <v>3</v>
      </c>
      <c r="C210" s="235">
        <f>$E$206*B210/($B$206-B210)</f>
        <v>18</v>
      </c>
      <c r="D210" s="235">
        <f>C210-C211</f>
        <v>10</v>
      </c>
      <c r="E210" s="235">
        <v>10</v>
      </c>
      <c r="F210" s="235">
        <f>F211+E210</f>
        <v>18.100000000000001</v>
      </c>
      <c r="G210" s="1">
        <f>$B$206*F210/(F210+$E$206)</f>
        <v>3.0066445182724251</v>
      </c>
      <c r="H210" s="6">
        <f>5000/($E$206+F210)</f>
        <v>166.11295681063123</v>
      </c>
      <c r="I210" s="268">
        <f>G210/B210-1</f>
        <v>2.2148394241416902E-3</v>
      </c>
    </row>
    <row r="211" spans="1:11">
      <c r="B211" s="6">
        <v>2</v>
      </c>
      <c r="C211" s="235">
        <f>$E$206*B211/($B$206-B211)</f>
        <v>8</v>
      </c>
      <c r="D211" s="8">
        <f>C211-C212</f>
        <v>5</v>
      </c>
      <c r="E211" s="8">
        <v>5.0999999999999996</v>
      </c>
      <c r="F211" s="235">
        <f>F212+E211</f>
        <v>8.1</v>
      </c>
      <c r="G211" s="1">
        <f>$B$206*F211/(F211+$E$206)</f>
        <v>2.0149253731343282</v>
      </c>
      <c r="H211" s="6">
        <f>5000/($E$206+F211)</f>
        <v>248.75621890547262</v>
      </c>
      <c r="I211" s="268">
        <f>G211/B211-1</f>
        <v>7.4626865671640896E-3</v>
      </c>
    </row>
    <row r="212" spans="1:11">
      <c r="A212" t="s">
        <v>349</v>
      </c>
      <c r="B212" s="6">
        <v>1</v>
      </c>
      <c r="C212" s="235">
        <f>$E$206*B212/($B$206-B212)</f>
        <v>3</v>
      </c>
      <c r="D212" s="8">
        <f>C212-C213</f>
        <v>3</v>
      </c>
      <c r="E212" s="8">
        <v>3</v>
      </c>
      <c r="F212" s="235">
        <f>F213+E212</f>
        <v>3</v>
      </c>
      <c r="G212" s="1">
        <f>$B$206*F212/(F212+$E$206)</f>
        <v>1</v>
      </c>
      <c r="H212" s="6">
        <f>5000/($E$206+F212)</f>
        <v>333.33333333333331</v>
      </c>
      <c r="I212" s="268">
        <f>G212/B212-1</f>
        <v>0</v>
      </c>
    </row>
    <row r="213" spans="1:11">
      <c r="A213" t="s">
        <v>802</v>
      </c>
      <c r="B213" s="6">
        <v>0</v>
      </c>
      <c r="C213" s="235">
        <f>$E$206*B213/($B$206-B213)</f>
        <v>0</v>
      </c>
      <c r="D213" s="8">
        <v>0</v>
      </c>
      <c r="E213" s="8">
        <v>0</v>
      </c>
      <c r="F213" s="235">
        <v>0</v>
      </c>
      <c r="G213" s="1">
        <f>$B$206*F213/(F213+$E$206)</f>
        <v>0</v>
      </c>
      <c r="H213" s="6">
        <f>5000/($E$206+F213)</f>
        <v>416.66666666666669</v>
      </c>
      <c r="I213" s="268">
        <v>0</v>
      </c>
    </row>
    <row r="214" spans="1:11">
      <c r="B214" s="6"/>
      <c r="C214" s="235"/>
      <c r="D214" s="235"/>
      <c r="E214" s="235"/>
      <c r="F214" s="235"/>
      <c r="I214" s="268"/>
    </row>
    <row r="215" spans="1:11">
      <c r="B215" s="6"/>
      <c r="C215" s="235"/>
      <c r="D215" s="235"/>
      <c r="E215" s="235"/>
      <c r="F215" s="235"/>
      <c r="I215" s="268"/>
    </row>
    <row r="216" spans="1:11">
      <c r="A216" t="s">
        <v>799</v>
      </c>
      <c r="B216" s="6">
        <v>4</v>
      </c>
      <c r="C216" s="235"/>
      <c r="D216" s="235" t="s">
        <v>474</v>
      </c>
      <c r="E216" s="235">
        <v>10</v>
      </c>
      <c r="F216" s="235"/>
      <c r="I216" s="268"/>
    </row>
    <row r="217" spans="1:11">
      <c r="B217" s="6"/>
      <c r="C217" s="235"/>
      <c r="D217" s="235" t="s">
        <v>801</v>
      </c>
      <c r="E217" s="235" t="s">
        <v>800</v>
      </c>
      <c r="F217" s="235"/>
      <c r="H217" s="5" t="s">
        <v>806</v>
      </c>
      <c r="I217" s="268" t="s">
        <v>628</v>
      </c>
    </row>
    <row r="218" spans="1:11">
      <c r="A218" t="s">
        <v>803</v>
      </c>
      <c r="B218" s="6">
        <v>4</v>
      </c>
      <c r="C218" s="269" t="s">
        <v>135</v>
      </c>
      <c r="D218" s="269" t="s">
        <v>135</v>
      </c>
      <c r="E218" s="269" t="s">
        <v>135</v>
      </c>
      <c r="F218" s="269" t="s">
        <v>135</v>
      </c>
      <c r="G218" s="1">
        <f>B218</f>
        <v>4</v>
      </c>
      <c r="H218" s="6">
        <v>0</v>
      </c>
      <c r="I218" s="268">
        <v>0</v>
      </c>
    </row>
    <row r="219" spans="1:11">
      <c r="A219" t="s">
        <v>804</v>
      </c>
      <c r="B219" s="6">
        <v>3</v>
      </c>
      <c r="C219" s="235">
        <f>$E$216*B219/($B$216-B219)</f>
        <v>30</v>
      </c>
      <c r="D219" s="235">
        <f>C219-C220</f>
        <v>20</v>
      </c>
      <c r="E219" s="235">
        <v>20</v>
      </c>
      <c r="F219" s="235">
        <f>F220+E219</f>
        <v>30.1</v>
      </c>
      <c r="G219" s="1">
        <f>$B$216*F219/(F219+$E$216)</f>
        <v>3.0024937655860349</v>
      </c>
      <c r="H219" s="6">
        <f>5000/($E$216+F219)</f>
        <v>124.68827930174564</v>
      </c>
      <c r="I219" s="268">
        <f>G219/B219-1</f>
        <v>8.3125519534488213E-4</v>
      </c>
      <c r="J219" s="139" t="s">
        <v>807</v>
      </c>
      <c r="K219" s="128" t="s">
        <v>812</v>
      </c>
    </row>
    <row r="220" spans="1:11">
      <c r="A220" t="s">
        <v>805</v>
      </c>
      <c r="B220" s="6">
        <v>2</v>
      </c>
      <c r="C220" s="235">
        <f>$E$216*B220/($B$216-B220)</f>
        <v>10</v>
      </c>
      <c r="D220" s="8">
        <f>C220-C221</f>
        <v>6.6666666666666661</v>
      </c>
      <c r="E220" s="8">
        <f>6.8</f>
        <v>6.8</v>
      </c>
      <c r="F220" s="235">
        <f>F221+E220</f>
        <v>10.1</v>
      </c>
      <c r="G220" s="1">
        <f>$B$216*F220/(F220+$E$216)</f>
        <v>2.0099502487562186</v>
      </c>
      <c r="H220" s="6">
        <f>5000/($E$216+F220)</f>
        <v>248.75621890547262</v>
      </c>
      <c r="I220" s="268">
        <f>G220/B220-1</f>
        <v>4.9751243781093191E-3</v>
      </c>
      <c r="J220" s="139" t="s">
        <v>808</v>
      </c>
      <c r="K220" s="128" t="s">
        <v>811</v>
      </c>
    </row>
    <row r="221" spans="1:11">
      <c r="A221" t="s">
        <v>349</v>
      </c>
      <c r="B221" s="6">
        <v>1</v>
      </c>
      <c r="C221" s="235">
        <f>$E$216*B221/($B$216-B221)</f>
        <v>3.3333333333333335</v>
      </c>
      <c r="D221" s="8">
        <f>C221-C222</f>
        <v>3.3333333333333335</v>
      </c>
      <c r="E221" s="8">
        <v>3.3</v>
      </c>
      <c r="F221" s="235">
        <f>F222+E221</f>
        <v>3.3</v>
      </c>
      <c r="G221" s="1">
        <f>$B$216*F221/(F221+$E$216)</f>
        <v>0.99248120300751874</v>
      </c>
      <c r="H221" s="6">
        <f>5000/($E$216+F221)</f>
        <v>375.93984962406012</v>
      </c>
      <c r="I221" s="268">
        <f>G221/B221-1</f>
        <v>-7.5187969924812581E-3</v>
      </c>
      <c r="J221" s="139" t="s">
        <v>809</v>
      </c>
      <c r="K221" s="128" t="s">
        <v>810</v>
      </c>
    </row>
    <row r="222" spans="1:11">
      <c r="A222" t="s">
        <v>802</v>
      </c>
      <c r="B222" s="6">
        <v>0</v>
      </c>
      <c r="C222" s="235">
        <f>$E$216*B222/($B$216-B222)</f>
        <v>0</v>
      </c>
      <c r="D222" s="8">
        <v>0</v>
      </c>
      <c r="E222" s="8">
        <v>0</v>
      </c>
      <c r="F222" s="235">
        <v>0</v>
      </c>
      <c r="G222" s="1">
        <f>$B$216*F222/(F222+$E$216)</f>
        <v>0</v>
      </c>
      <c r="H222" s="6">
        <f>5000/($E$216+F222)</f>
        <v>500</v>
      </c>
      <c r="I222" s="268">
        <v>0</v>
      </c>
    </row>
    <row r="223" spans="1:11">
      <c r="B223" s="6"/>
      <c r="C223" s="235"/>
      <c r="D223" s="235"/>
      <c r="E223" s="235"/>
      <c r="F223" s="235"/>
    </row>
  </sheetData>
  <mergeCells count="7">
    <mergeCell ref="A137:B137"/>
    <mergeCell ref="L1:N1"/>
    <mergeCell ref="B1:F1"/>
    <mergeCell ref="G1:K1"/>
    <mergeCell ref="A85:B85"/>
    <mergeCell ref="A99:B99"/>
    <mergeCell ref="A119:B119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65"/>
  <sheetViews>
    <sheetView topLeftCell="C148" zoomScale="125" zoomScaleNormal="125" zoomScalePageLayoutView="125" workbookViewId="0">
      <selection activeCell="D163" sqref="D163"/>
    </sheetView>
  </sheetViews>
  <sheetFormatPr defaultColWidth="12.69921875" defaultRowHeight="14.4"/>
  <cols>
    <col min="2" max="2" width="27.19921875" bestFit="1" customWidth="1"/>
    <col min="7" max="7" width="34.796875" bestFit="1" customWidth="1"/>
  </cols>
  <sheetData>
    <row r="1" spans="1:8">
      <c r="A1" t="s">
        <v>193</v>
      </c>
      <c r="B1" t="s">
        <v>194</v>
      </c>
      <c r="C1" t="s">
        <v>195</v>
      </c>
      <c r="D1" t="s">
        <v>196</v>
      </c>
      <c r="F1" t="s">
        <v>209</v>
      </c>
      <c r="G1" t="s">
        <v>210</v>
      </c>
      <c r="H1" t="s">
        <v>211</v>
      </c>
    </row>
    <row r="2" spans="1:8">
      <c r="A2">
        <v>6300</v>
      </c>
      <c r="B2">
        <f>1024*1024/A2</f>
        <v>166.44063492063492</v>
      </c>
      <c r="F2" s="6">
        <f>(A2-1600)/A2*1024</f>
        <v>763.93650793650795</v>
      </c>
      <c r="G2" s="6">
        <f>(A2-1800)/A2*1024</f>
        <v>731.42857142857144</v>
      </c>
      <c r="H2" s="6">
        <f>(A2-2000)/A2*1024</f>
        <v>698.92063492063494</v>
      </c>
    </row>
    <row r="3" spans="1:8">
      <c r="A3">
        <v>6200</v>
      </c>
      <c r="B3">
        <f t="shared" ref="B3:B47" si="0">1024*1024/A3</f>
        <v>169.12516129032258</v>
      </c>
      <c r="F3" s="6">
        <f t="shared" ref="F3:F47" si="1">(A3-1600)/A3*1024</f>
        <v>759.74193548387098</v>
      </c>
      <c r="G3" s="6">
        <f t="shared" ref="G3:G47" si="2">(A3-1800)/A3*1024</f>
        <v>726.70967741935488</v>
      </c>
      <c r="H3" s="6">
        <f t="shared" ref="H3:H47" si="3">(A3-2000)/A3*1024</f>
        <v>693.67741935483866</v>
      </c>
    </row>
    <row r="4" spans="1:8">
      <c r="A4">
        <v>6100</v>
      </c>
      <c r="B4">
        <f t="shared" si="0"/>
        <v>171.89770491803279</v>
      </c>
      <c r="F4" s="6">
        <f t="shared" si="1"/>
        <v>755.40983606557381</v>
      </c>
      <c r="G4" s="6">
        <f t="shared" si="2"/>
        <v>721.8360655737705</v>
      </c>
      <c r="H4" s="6">
        <f t="shared" si="3"/>
        <v>688.26229508196718</v>
      </c>
    </row>
    <row r="5" spans="1:8">
      <c r="A5">
        <v>6000</v>
      </c>
      <c r="B5">
        <f t="shared" si="0"/>
        <v>174.76266666666666</v>
      </c>
      <c r="F5" s="6">
        <f t="shared" si="1"/>
        <v>750.93333333333328</v>
      </c>
      <c r="G5" s="6">
        <f t="shared" si="2"/>
        <v>716.8</v>
      </c>
      <c r="H5" s="6">
        <f t="shared" si="3"/>
        <v>682.66666666666663</v>
      </c>
    </row>
    <row r="6" spans="1:8">
      <c r="A6">
        <v>5900</v>
      </c>
      <c r="B6">
        <f t="shared" si="0"/>
        <v>177.72474576271188</v>
      </c>
      <c r="F6" s="6">
        <f t="shared" si="1"/>
        <v>746.30508474576266</v>
      </c>
      <c r="G6" s="6">
        <f t="shared" si="2"/>
        <v>711.59322033898309</v>
      </c>
      <c r="H6" s="6">
        <f t="shared" si="3"/>
        <v>676.88135593220341</v>
      </c>
    </row>
    <row r="7" spans="1:8">
      <c r="A7">
        <v>5800</v>
      </c>
      <c r="B7">
        <f t="shared" si="0"/>
        <v>180.78896551724137</v>
      </c>
      <c r="F7" s="6">
        <f t="shared" si="1"/>
        <v>741.51724137931035</v>
      </c>
      <c r="G7" s="6">
        <f t="shared" si="2"/>
        <v>706.20689655172418</v>
      </c>
      <c r="H7" s="6">
        <f t="shared" si="3"/>
        <v>670.89655172413791</v>
      </c>
    </row>
    <row r="8" spans="1:8">
      <c r="A8">
        <v>5700</v>
      </c>
      <c r="B8">
        <f t="shared" si="0"/>
        <v>183.96070175438595</v>
      </c>
      <c r="F8" s="6">
        <f t="shared" si="1"/>
        <v>736.56140350877195</v>
      </c>
      <c r="G8" s="6">
        <f t="shared" si="2"/>
        <v>700.63157894736844</v>
      </c>
      <c r="H8" s="6">
        <f t="shared" si="3"/>
        <v>664.70175438596493</v>
      </c>
    </row>
    <row r="9" spans="1:8">
      <c r="A9">
        <v>5600</v>
      </c>
      <c r="B9">
        <f t="shared" si="0"/>
        <v>187.24571428571429</v>
      </c>
      <c r="F9" s="6">
        <f t="shared" si="1"/>
        <v>731.42857142857144</v>
      </c>
      <c r="G9" s="6">
        <f t="shared" si="2"/>
        <v>694.85714285714289</v>
      </c>
      <c r="H9" s="6">
        <f t="shared" si="3"/>
        <v>658.28571428571433</v>
      </c>
    </row>
    <row r="10" spans="1:8">
      <c r="A10">
        <v>5500</v>
      </c>
      <c r="B10">
        <f t="shared" si="0"/>
        <v>190.65018181818181</v>
      </c>
      <c r="F10" s="6">
        <f t="shared" si="1"/>
        <v>726.10909090909092</v>
      </c>
      <c r="G10" s="6">
        <f t="shared" si="2"/>
        <v>688.87272727272727</v>
      </c>
      <c r="H10" s="6">
        <f t="shared" si="3"/>
        <v>651.63636363636363</v>
      </c>
    </row>
    <row r="11" spans="1:8">
      <c r="A11">
        <v>5400</v>
      </c>
      <c r="B11">
        <f t="shared" si="0"/>
        <v>194.18074074074073</v>
      </c>
      <c r="F11" s="6">
        <f t="shared" si="1"/>
        <v>720.59259259259261</v>
      </c>
      <c r="G11" s="6">
        <f t="shared" si="2"/>
        <v>682.66666666666663</v>
      </c>
      <c r="H11" s="6">
        <f t="shared" si="3"/>
        <v>644.74074074074076</v>
      </c>
    </row>
    <row r="12" spans="1:8">
      <c r="A12">
        <v>5300</v>
      </c>
      <c r="B12">
        <f t="shared" si="0"/>
        <v>197.84452830188678</v>
      </c>
      <c r="F12" s="6">
        <f t="shared" si="1"/>
        <v>714.86792452830184</v>
      </c>
      <c r="G12" s="6">
        <f t="shared" si="2"/>
        <v>676.22641509433959</v>
      </c>
      <c r="H12" s="6">
        <f t="shared" si="3"/>
        <v>637.58490566037733</v>
      </c>
    </row>
    <row r="13" spans="1:8">
      <c r="A13">
        <v>5200</v>
      </c>
      <c r="B13">
        <f t="shared" si="0"/>
        <v>201.64923076923077</v>
      </c>
      <c r="F13" s="6">
        <f t="shared" si="1"/>
        <v>708.92307692307691</v>
      </c>
      <c r="G13" s="6">
        <f t="shared" si="2"/>
        <v>669.53846153846155</v>
      </c>
      <c r="H13" s="6">
        <f t="shared" si="3"/>
        <v>630.15384615384619</v>
      </c>
    </row>
    <row r="14" spans="1:8">
      <c r="A14">
        <v>5100</v>
      </c>
      <c r="B14">
        <f t="shared" si="0"/>
        <v>205.60313725490195</v>
      </c>
      <c r="F14" s="6">
        <f t="shared" si="1"/>
        <v>702.74509803921569</v>
      </c>
      <c r="G14" s="6">
        <f t="shared" si="2"/>
        <v>662.58823529411768</v>
      </c>
      <c r="H14" s="6">
        <f t="shared" si="3"/>
        <v>622.43137254901956</v>
      </c>
    </row>
    <row r="15" spans="1:8">
      <c r="A15">
        <v>5000</v>
      </c>
      <c r="B15">
        <f t="shared" si="0"/>
        <v>209.71520000000001</v>
      </c>
      <c r="C15">
        <f>2000/20</f>
        <v>100</v>
      </c>
      <c r="D15">
        <f>(A15-1600)/(20+C15)</f>
        <v>28.333333333333332</v>
      </c>
      <c r="F15" s="6">
        <f t="shared" si="1"/>
        <v>696.32</v>
      </c>
      <c r="G15" s="6">
        <f t="shared" si="2"/>
        <v>655.36</v>
      </c>
      <c r="H15" s="6">
        <f t="shared" si="3"/>
        <v>614.4</v>
      </c>
    </row>
    <row r="16" spans="1:8">
      <c r="A16">
        <v>4900</v>
      </c>
      <c r="B16">
        <f t="shared" si="0"/>
        <v>213.99510204081633</v>
      </c>
      <c r="F16" s="6">
        <f t="shared" si="1"/>
        <v>689.63265306122446</v>
      </c>
      <c r="G16" s="6">
        <f t="shared" si="2"/>
        <v>647.83673469387759</v>
      </c>
      <c r="H16" s="6">
        <f t="shared" si="3"/>
        <v>606.0408163265306</v>
      </c>
    </row>
    <row r="17" spans="1:8">
      <c r="A17">
        <v>4800</v>
      </c>
      <c r="B17">
        <f t="shared" si="0"/>
        <v>218.45333333333335</v>
      </c>
      <c r="F17" s="6">
        <f t="shared" si="1"/>
        <v>682.66666666666663</v>
      </c>
      <c r="G17" s="6">
        <f t="shared" si="2"/>
        <v>640</v>
      </c>
      <c r="H17" s="6">
        <f t="shared" si="3"/>
        <v>597.33333333333337</v>
      </c>
    </row>
    <row r="18" spans="1:8">
      <c r="A18">
        <v>4700</v>
      </c>
      <c r="B18">
        <f t="shared" si="0"/>
        <v>223.10127659574468</v>
      </c>
      <c r="F18" s="6">
        <f t="shared" si="1"/>
        <v>675.40425531914889</v>
      </c>
      <c r="G18" s="6">
        <f t="shared" si="2"/>
        <v>631.82978723404256</v>
      </c>
      <c r="H18" s="6">
        <f t="shared" si="3"/>
        <v>588.25531914893622</v>
      </c>
    </row>
    <row r="19" spans="1:8">
      <c r="A19">
        <v>4600</v>
      </c>
      <c r="B19">
        <f t="shared" si="0"/>
        <v>227.9513043478261</v>
      </c>
      <c r="F19" s="6">
        <f t="shared" si="1"/>
        <v>667.82608695652175</v>
      </c>
      <c r="G19" s="6">
        <f t="shared" si="2"/>
        <v>623.304347826087</v>
      </c>
      <c r="H19" s="6">
        <f t="shared" si="3"/>
        <v>578.78260869565213</v>
      </c>
    </row>
    <row r="20" spans="1:8">
      <c r="A20">
        <v>4500</v>
      </c>
      <c r="B20">
        <f t="shared" si="0"/>
        <v>233.0168888888889</v>
      </c>
      <c r="F20" s="6">
        <f t="shared" si="1"/>
        <v>659.91111111111115</v>
      </c>
      <c r="G20" s="6">
        <f t="shared" si="2"/>
        <v>614.4</v>
      </c>
      <c r="H20" s="6">
        <f t="shared" si="3"/>
        <v>568.88888888888891</v>
      </c>
    </row>
    <row r="21" spans="1:8">
      <c r="A21">
        <v>4400</v>
      </c>
      <c r="B21">
        <f t="shared" si="0"/>
        <v>238.31272727272727</v>
      </c>
      <c r="F21" s="6">
        <f t="shared" si="1"/>
        <v>651.63636363636363</v>
      </c>
      <c r="G21" s="6">
        <f t="shared" si="2"/>
        <v>605.09090909090912</v>
      </c>
      <c r="H21" s="6">
        <f t="shared" si="3"/>
        <v>558.5454545454545</v>
      </c>
    </row>
    <row r="22" spans="1:8">
      <c r="A22">
        <v>4300</v>
      </c>
      <c r="B22">
        <f t="shared" si="0"/>
        <v>243.85488372093025</v>
      </c>
      <c r="F22" s="6">
        <f t="shared" si="1"/>
        <v>642.97674418604652</v>
      </c>
      <c r="G22" s="6">
        <f t="shared" si="2"/>
        <v>595.34883720930236</v>
      </c>
      <c r="H22" s="6">
        <f t="shared" si="3"/>
        <v>547.72093023255809</v>
      </c>
    </row>
    <row r="23" spans="1:8">
      <c r="A23">
        <v>4200</v>
      </c>
      <c r="B23">
        <f t="shared" si="0"/>
        <v>249.66095238095238</v>
      </c>
      <c r="F23" s="6">
        <f t="shared" si="1"/>
        <v>633.90476190476193</v>
      </c>
      <c r="G23" s="6">
        <f t="shared" si="2"/>
        <v>585.14285714285711</v>
      </c>
      <c r="H23" s="6">
        <f t="shared" si="3"/>
        <v>536.38095238095241</v>
      </c>
    </row>
    <row r="24" spans="1:8">
      <c r="A24">
        <v>4100</v>
      </c>
      <c r="B24">
        <f t="shared" si="0"/>
        <v>255.75024390243902</v>
      </c>
      <c r="F24" s="6">
        <f t="shared" si="1"/>
        <v>624.39024390243901</v>
      </c>
      <c r="G24" s="6">
        <f t="shared" si="2"/>
        <v>574.43902439024396</v>
      </c>
      <c r="H24" s="6">
        <f t="shared" si="3"/>
        <v>524.48780487804879</v>
      </c>
    </row>
    <row r="25" spans="1:8">
      <c r="A25">
        <v>4000</v>
      </c>
      <c r="B25">
        <f t="shared" si="0"/>
        <v>262.14400000000001</v>
      </c>
      <c r="F25" s="6">
        <f t="shared" si="1"/>
        <v>614.4</v>
      </c>
      <c r="G25" s="6">
        <f t="shared" si="2"/>
        <v>563.20000000000005</v>
      </c>
      <c r="H25" s="6">
        <f t="shared" si="3"/>
        <v>512</v>
      </c>
    </row>
    <row r="26" spans="1:8">
      <c r="A26">
        <v>3900</v>
      </c>
      <c r="B26">
        <f t="shared" si="0"/>
        <v>268.86564102564103</v>
      </c>
      <c r="F26" s="6">
        <f t="shared" si="1"/>
        <v>603.89743589743591</v>
      </c>
      <c r="G26" s="6">
        <f t="shared" si="2"/>
        <v>551.38461538461536</v>
      </c>
      <c r="H26" s="6">
        <f t="shared" si="3"/>
        <v>498.87179487179486</v>
      </c>
    </row>
    <row r="27" spans="1:8">
      <c r="A27">
        <v>3800</v>
      </c>
      <c r="B27">
        <f t="shared" si="0"/>
        <v>275.94105263157894</v>
      </c>
      <c r="F27" s="6">
        <f t="shared" si="1"/>
        <v>592.84210526315792</v>
      </c>
      <c r="G27" s="6">
        <f t="shared" si="2"/>
        <v>538.9473684210526</v>
      </c>
      <c r="H27" s="6">
        <f t="shared" si="3"/>
        <v>485.05263157894734</v>
      </c>
    </row>
    <row r="28" spans="1:8">
      <c r="A28">
        <v>3700</v>
      </c>
      <c r="B28">
        <f t="shared" si="0"/>
        <v>283.39891891891892</v>
      </c>
      <c r="F28" s="6">
        <f t="shared" si="1"/>
        <v>581.18918918918916</v>
      </c>
      <c r="G28" s="6">
        <f t="shared" si="2"/>
        <v>525.83783783783781</v>
      </c>
      <c r="H28" s="6">
        <f t="shared" si="3"/>
        <v>470.48648648648651</v>
      </c>
    </row>
    <row r="29" spans="1:8">
      <c r="A29">
        <v>3600</v>
      </c>
      <c r="B29">
        <f t="shared" si="0"/>
        <v>291.27111111111111</v>
      </c>
      <c r="F29" s="6">
        <f t="shared" si="1"/>
        <v>568.88888888888891</v>
      </c>
      <c r="G29" s="6">
        <f t="shared" si="2"/>
        <v>512</v>
      </c>
      <c r="H29" s="6">
        <f t="shared" si="3"/>
        <v>455.11111111111109</v>
      </c>
    </row>
    <row r="30" spans="1:8">
      <c r="A30">
        <v>3500</v>
      </c>
      <c r="B30">
        <f t="shared" si="0"/>
        <v>299.59314285714288</v>
      </c>
      <c r="F30" s="6">
        <f t="shared" si="1"/>
        <v>555.88571428571424</v>
      </c>
      <c r="G30" s="6">
        <f t="shared" si="2"/>
        <v>497.37142857142857</v>
      </c>
      <c r="H30" s="6">
        <f t="shared" si="3"/>
        <v>438.85714285714283</v>
      </c>
    </row>
    <row r="31" spans="1:8">
      <c r="A31">
        <v>3400</v>
      </c>
      <c r="B31">
        <f t="shared" si="0"/>
        <v>308.40470588235291</v>
      </c>
      <c r="F31" s="6">
        <f t="shared" si="1"/>
        <v>542.11764705882354</v>
      </c>
      <c r="G31" s="6">
        <f t="shared" si="2"/>
        <v>481.88235294117646</v>
      </c>
      <c r="H31" s="6">
        <f t="shared" si="3"/>
        <v>421.64705882352939</v>
      </c>
    </row>
    <row r="32" spans="1:8">
      <c r="A32">
        <v>3300</v>
      </c>
      <c r="B32">
        <f t="shared" si="0"/>
        <v>317.75030303030303</v>
      </c>
      <c r="F32" s="6">
        <f t="shared" si="1"/>
        <v>527.5151515151515</v>
      </c>
      <c r="G32" s="6">
        <f t="shared" si="2"/>
        <v>465.45454545454544</v>
      </c>
      <c r="H32" s="6">
        <f t="shared" si="3"/>
        <v>403.39393939393938</v>
      </c>
    </row>
    <row r="33" spans="1:16">
      <c r="A33">
        <v>3200</v>
      </c>
      <c r="B33">
        <f t="shared" si="0"/>
        <v>327.68</v>
      </c>
      <c r="F33" s="6">
        <f t="shared" si="1"/>
        <v>512</v>
      </c>
      <c r="G33" s="6">
        <f t="shared" si="2"/>
        <v>448</v>
      </c>
      <c r="H33" s="6">
        <f t="shared" si="3"/>
        <v>384</v>
      </c>
    </row>
    <row r="34" spans="1:16">
      <c r="A34">
        <v>3100</v>
      </c>
      <c r="B34">
        <f t="shared" si="0"/>
        <v>338.25032258064516</v>
      </c>
      <c r="F34" s="6">
        <f t="shared" si="1"/>
        <v>495.48387096774195</v>
      </c>
      <c r="G34" s="6">
        <f t="shared" si="2"/>
        <v>429.41935483870969</v>
      </c>
      <c r="H34" s="6">
        <f t="shared" si="3"/>
        <v>363.35483870967744</v>
      </c>
    </row>
    <row r="35" spans="1:16">
      <c r="A35">
        <v>3000</v>
      </c>
      <c r="B35">
        <f t="shared" si="0"/>
        <v>349.52533333333332</v>
      </c>
      <c r="C35">
        <f>1000/6.6</f>
        <v>151.51515151515153</v>
      </c>
      <c r="D35">
        <f>(A35-1600)/(20+C35)</f>
        <v>8.1625441696113068</v>
      </c>
      <c r="F35" s="6">
        <f t="shared" si="1"/>
        <v>477.86666666666667</v>
      </c>
      <c r="G35" s="6">
        <f t="shared" si="2"/>
        <v>409.6</v>
      </c>
      <c r="H35" s="6">
        <f t="shared" si="3"/>
        <v>341.33333333333331</v>
      </c>
    </row>
    <row r="36" spans="1:16">
      <c r="A36">
        <v>2900</v>
      </c>
      <c r="B36">
        <f t="shared" si="0"/>
        <v>361.57793103448273</v>
      </c>
      <c r="F36" s="6">
        <f t="shared" si="1"/>
        <v>459.0344827586207</v>
      </c>
      <c r="G36" s="6">
        <f t="shared" si="2"/>
        <v>388.41379310344826</v>
      </c>
      <c r="H36" s="6">
        <f t="shared" si="3"/>
        <v>317.79310344827587</v>
      </c>
    </row>
    <row r="37" spans="1:16">
      <c r="A37">
        <v>2800</v>
      </c>
      <c r="B37">
        <f t="shared" si="0"/>
        <v>374.49142857142857</v>
      </c>
      <c r="F37" s="6">
        <f t="shared" si="1"/>
        <v>438.85714285714283</v>
      </c>
      <c r="G37" s="6">
        <f t="shared" si="2"/>
        <v>365.71428571428572</v>
      </c>
      <c r="H37" s="6">
        <f t="shared" si="3"/>
        <v>292.57142857142856</v>
      </c>
    </row>
    <row r="38" spans="1:16">
      <c r="A38">
        <v>2700</v>
      </c>
      <c r="B38">
        <f t="shared" si="0"/>
        <v>388.36148148148146</v>
      </c>
      <c r="F38" s="6">
        <f t="shared" si="1"/>
        <v>417.18518518518516</v>
      </c>
      <c r="G38" s="6">
        <f t="shared" si="2"/>
        <v>341.33333333333331</v>
      </c>
      <c r="H38" s="6">
        <f t="shared" si="3"/>
        <v>265.48148148148147</v>
      </c>
    </row>
    <row r="39" spans="1:16">
      <c r="A39">
        <v>2600</v>
      </c>
      <c r="B39">
        <f t="shared" si="0"/>
        <v>403.29846153846154</v>
      </c>
      <c r="F39" s="6">
        <f t="shared" si="1"/>
        <v>393.84615384615387</v>
      </c>
      <c r="G39" s="6">
        <f t="shared" si="2"/>
        <v>315.07692307692309</v>
      </c>
      <c r="H39" s="6">
        <f t="shared" si="3"/>
        <v>236.30769230769232</v>
      </c>
      <c r="J39" s="300" t="s">
        <v>206</v>
      </c>
      <c r="K39" s="300"/>
      <c r="L39" s="300"/>
    </row>
    <row r="40" spans="1:16">
      <c r="A40">
        <v>2500</v>
      </c>
      <c r="B40">
        <f t="shared" si="0"/>
        <v>419.43040000000002</v>
      </c>
      <c r="F40" s="6">
        <f t="shared" si="1"/>
        <v>368.64</v>
      </c>
      <c r="G40" s="6">
        <f t="shared" si="2"/>
        <v>286.72000000000003</v>
      </c>
      <c r="H40" s="6">
        <f t="shared" si="3"/>
        <v>204.8</v>
      </c>
    </row>
    <row r="41" spans="1:16">
      <c r="A41">
        <v>2400</v>
      </c>
      <c r="B41">
        <f t="shared" si="0"/>
        <v>436.90666666666669</v>
      </c>
      <c r="F41" s="6">
        <f t="shared" si="1"/>
        <v>341.33333333333331</v>
      </c>
      <c r="G41" s="6">
        <f t="shared" si="2"/>
        <v>256</v>
      </c>
      <c r="H41" s="6">
        <f t="shared" si="3"/>
        <v>170.66666666666666</v>
      </c>
    </row>
    <row r="42" spans="1:16">
      <c r="A42">
        <v>2300</v>
      </c>
      <c r="B42">
        <f t="shared" si="0"/>
        <v>455.90260869565219</v>
      </c>
      <c r="F42" s="6">
        <f t="shared" si="1"/>
        <v>311.6521739130435</v>
      </c>
      <c r="G42" s="6">
        <f t="shared" si="2"/>
        <v>222.60869565217391</v>
      </c>
      <c r="H42" s="6">
        <f t="shared" si="3"/>
        <v>133.56521739130434</v>
      </c>
    </row>
    <row r="43" spans="1:16">
      <c r="A43">
        <v>2200</v>
      </c>
      <c r="B43">
        <f t="shared" si="0"/>
        <v>476.62545454545455</v>
      </c>
      <c r="F43" s="6">
        <f t="shared" si="1"/>
        <v>279.27272727272725</v>
      </c>
      <c r="G43" s="6">
        <f t="shared" si="2"/>
        <v>186.18181818181819</v>
      </c>
      <c r="H43" s="6">
        <f t="shared" si="3"/>
        <v>93.090909090909093</v>
      </c>
    </row>
    <row r="44" spans="1:16">
      <c r="A44">
        <v>2100</v>
      </c>
      <c r="B44">
        <f t="shared" si="0"/>
        <v>499.32190476190476</v>
      </c>
      <c r="F44" s="6">
        <f t="shared" si="1"/>
        <v>243.8095238095238</v>
      </c>
      <c r="G44" s="6">
        <f t="shared" si="2"/>
        <v>146.28571428571428</v>
      </c>
      <c r="H44" s="6">
        <f t="shared" si="3"/>
        <v>48.761904761904759</v>
      </c>
      <c r="J44" s="300" t="s">
        <v>207</v>
      </c>
      <c r="K44" s="300"/>
      <c r="L44" s="300"/>
      <c r="M44" s="455" t="s">
        <v>212</v>
      </c>
      <c r="N44" s="455"/>
      <c r="O44" s="455"/>
      <c r="P44" s="455"/>
    </row>
    <row r="45" spans="1:16">
      <c r="A45">
        <v>2000</v>
      </c>
      <c r="B45">
        <f t="shared" si="0"/>
        <v>524.28800000000001</v>
      </c>
      <c r="F45" s="6">
        <f t="shared" si="1"/>
        <v>204.8</v>
      </c>
      <c r="G45" s="6">
        <f t="shared" si="2"/>
        <v>102.4</v>
      </c>
      <c r="H45" s="6">
        <f t="shared" si="3"/>
        <v>0</v>
      </c>
      <c r="M45" s="455"/>
      <c r="N45" s="455"/>
      <c r="O45" s="455"/>
      <c r="P45" s="455"/>
    </row>
    <row r="46" spans="1:16">
      <c r="A46">
        <v>1900</v>
      </c>
      <c r="B46">
        <f t="shared" si="0"/>
        <v>551.88210526315788</v>
      </c>
      <c r="F46" s="6">
        <f t="shared" si="1"/>
        <v>161.68421052631578</v>
      </c>
      <c r="G46" s="6">
        <f t="shared" si="2"/>
        <v>53.89473684210526</v>
      </c>
      <c r="H46" s="6">
        <f t="shared" si="3"/>
        <v>-53.89473684210526</v>
      </c>
      <c r="M46" s="455"/>
      <c r="N46" s="455"/>
      <c r="O46" s="455"/>
      <c r="P46" s="455"/>
    </row>
    <row r="47" spans="1:16">
      <c r="A47">
        <v>1800</v>
      </c>
      <c r="B47">
        <f t="shared" si="0"/>
        <v>582.54222222222222</v>
      </c>
      <c r="C47">
        <f>250/1</f>
        <v>250</v>
      </c>
      <c r="D47">
        <f>(A47-1600)/(20+C47)</f>
        <v>0.7407407407407407</v>
      </c>
      <c r="F47" s="6">
        <f t="shared" si="1"/>
        <v>113.77777777777777</v>
      </c>
      <c r="G47" s="6">
        <f t="shared" si="2"/>
        <v>0</v>
      </c>
      <c r="H47" s="6">
        <f t="shared" si="3"/>
        <v>-113.77777777777777</v>
      </c>
      <c r="M47" s="455"/>
      <c r="N47" s="455"/>
      <c r="O47" s="455"/>
      <c r="P47" s="455"/>
    </row>
    <row r="49" spans="1:12">
      <c r="A49">
        <f>1024*1024/B49</f>
        <v>6553.6</v>
      </c>
      <c r="B49">
        <v>160</v>
      </c>
      <c r="C49">
        <f>1000/34</f>
        <v>29.411764705882351</v>
      </c>
      <c r="D49">
        <f>(A49-1600)/(20+C49+215)</f>
        <v>18.734416017797557</v>
      </c>
      <c r="E49">
        <f>1024/D49</f>
        <v>54.65876272989815</v>
      </c>
      <c r="J49" s="300" t="s">
        <v>208</v>
      </c>
      <c r="K49" s="300"/>
      <c r="L49" s="300"/>
    </row>
    <row r="50" spans="1:12">
      <c r="A50">
        <f t="shared" ref="A50:A64" si="4">1024*1024/B50</f>
        <v>5461.333333333333</v>
      </c>
      <c r="B50">
        <v>192</v>
      </c>
      <c r="C50">
        <f>1000/34</f>
        <v>29.411764705882351</v>
      </c>
      <c r="D50">
        <f>(A50-1600)/(20+C50+215)</f>
        <v>14.603485354097145</v>
      </c>
      <c r="E50">
        <f>1024/D50</f>
        <v>70.120246993825148</v>
      </c>
    </row>
    <row r="51" spans="1:12">
      <c r="A51">
        <f t="shared" si="4"/>
        <v>4681.1428571428569</v>
      </c>
      <c r="B51">
        <v>224</v>
      </c>
      <c r="C51">
        <f>1000/34</f>
        <v>29.411764705882351</v>
      </c>
      <c r="D51">
        <f>(A51-1600)/(20+C51+215)</f>
        <v>11.652820594311139</v>
      </c>
      <c r="E51">
        <f>1024/D51</f>
        <v>87.875720020946062</v>
      </c>
    </row>
    <row r="52" spans="1:12">
      <c r="A52">
        <f t="shared" si="4"/>
        <v>4096</v>
      </c>
      <c r="B52">
        <v>256</v>
      </c>
    </row>
    <row r="53" spans="1:12">
      <c r="A53">
        <f t="shared" si="4"/>
        <v>3640.8888888888887</v>
      </c>
      <c r="B53">
        <v>288</v>
      </c>
    </row>
    <row r="54" spans="1:12">
      <c r="A54">
        <f t="shared" si="4"/>
        <v>3276.8</v>
      </c>
      <c r="B54">
        <v>320</v>
      </c>
      <c r="C54">
        <f>500/10</f>
        <v>50</v>
      </c>
      <c r="D54">
        <f>(A54-1600)/(20+C54+215)</f>
        <v>5.8835087719298249</v>
      </c>
      <c r="E54">
        <f>1024/D54</f>
        <v>174.04580152671755</v>
      </c>
    </row>
    <row r="55" spans="1:12">
      <c r="A55">
        <f t="shared" si="4"/>
        <v>2978.909090909091</v>
      </c>
      <c r="B55">
        <v>352</v>
      </c>
      <c r="C55">
        <f>500/10</f>
        <v>50</v>
      </c>
      <c r="D55">
        <f>(A55-1600)/(20+C55+215)</f>
        <v>4.8382775119617225</v>
      </c>
      <c r="E55">
        <f>1024/D55</f>
        <v>211.64556962025316</v>
      </c>
    </row>
    <row r="56" spans="1:12">
      <c r="A56">
        <f t="shared" si="4"/>
        <v>2730.6666666666665</v>
      </c>
      <c r="B56">
        <v>384</v>
      </c>
      <c r="C56">
        <f>500/10</f>
        <v>50</v>
      </c>
      <c r="D56">
        <f>(A56-1600)/(20+C56+215)</f>
        <v>3.9672514619883037</v>
      </c>
      <c r="E56">
        <f>1024/D56</f>
        <v>258.11320754716985</v>
      </c>
    </row>
    <row r="57" spans="1:12">
      <c r="A57">
        <f t="shared" si="4"/>
        <v>2520.6153846153848</v>
      </c>
      <c r="B57">
        <v>416</v>
      </c>
    </row>
    <row r="58" spans="1:12">
      <c r="A58">
        <f t="shared" si="4"/>
        <v>2340.5714285714284</v>
      </c>
      <c r="B58">
        <v>448</v>
      </c>
    </row>
    <row r="59" spans="1:12">
      <c r="A59">
        <f t="shared" si="4"/>
        <v>2184.5333333333333</v>
      </c>
      <c r="B59">
        <v>480</v>
      </c>
    </row>
    <row r="60" spans="1:12">
      <c r="A60">
        <f t="shared" si="4"/>
        <v>2048</v>
      </c>
      <c r="B60">
        <v>512</v>
      </c>
    </row>
    <row r="61" spans="1:12">
      <c r="A61">
        <f t="shared" si="4"/>
        <v>1927.5294117647059</v>
      </c>
      <c r="B61">
        <v>544</v>
      </c>
      <c r="C61">
        <f>200/2.2</f>
        <v>90.909090909090907</v>
      </c>
      <c r="D61">
        <f>(A61-1600)/(20+C61+215)</f>
        <v>1.0049716957912873</v>
      </c>
      <c r="E61">
        <f>1024/D61</f>
        <v>1018.9341692789968</v>
      </c>
    </row>
    <row r="62" spans="1:12">
      <c r="A62">
        <f t="shared" si="4"/>
        <v>1820.4444444444443</v>
      </c>
      <c r="B62">
        <v>576</v>
      </c>
      <c r="C62">
        <f>200/2.2</f>
        <v>90.909090909090907</v>
      </c>
      <c r="D62">
        <f>(A62-1600)/(20+C62+215)</f>
        <v>0.67639857430652384</v>
      </c>
      <c r="E62">
        <f>1024/D62</f>
        <v>1513.9002932551325</v>
      </c>
    </row>
    <row r="63" spans="1:12">
      <c r="A63">
        <f t="shared" si="4"/>
        <v>1724.6315789473683</v>
      </c>
      <c r="B63">
        <v>608</v>
      </c>
    </row>
    <row r="64" spans="1:12">
      <c r="A64">
        <f t="shared" si="4"/>
        <v>1638.4</v>
      </c>
      <c r="B64">
        <v>640</v>
      </c>
    </row>
    <row r="66" spans="1:21">
      <c r="C66" s="353" t="s">
        <v>201</v>
      </c>
      <c r="D66" s="353"/>
      <c r="E66" s="353"/>
      <c r="G66" s="353" t="s">
        <v>202</v>
      </c>
      <c r="H66" s="353"/>
      <c r="I66" s="353"/>
      <c r="J66" s="38"/>
      <c r="K66" s="353" t="s">
        <v>205</v>
      </c>
      <c r="L66" s="353"/>
      <c r="M66" s="353"/>
      <c r="O66" s="353" t="s">
        <v>203</v>
      </c>
      <c r="P66" s="353"/>
      <c r="Q66" s="353"/>
      <c r="S66" s="353" t="s">
        <v>204</v>
      </c>
      <c r="T66" s="353"/>
      <c r="U66" s="353"/>
    </row>
    <row r="67" spans="1:21">
      <c r="C67" t="s">
        <v>198</v>
      </c>
      <c r="D67" t="s">
        <v>199</v>
      </c>
      <c r="E67" t="s">
        <v>200</v>
      </c>
      <c r="G67" t="s">
        <v>198</v>
      </c>
      <c r="H67" t="s">
        <v>199</v>
      </c>
      <c r="I67" t="s">
        <v>200</v>
      </c>
      <c r="K67">
        <v>1</v>
      </c>
      <c r="L67">
        <v>1</v>
      </c>
      <c r="M67">
        <v>0.3</v>
      </c>
    </row>
    <row r="68" spans="1:21">
      <c r="A68">
        <f>1024*1024/B68</f>
        <v>582.54222222222222</v>
      </c>
      <c r="B68">
        <v>1800</v>
      </c>
      <c r="C68">
        <v>138.9</v>
      </c>
      <c r="D68">
        <v>119.8</v>
      </c>
      <c r="E68">
        <v>58.2</v>
      </c>
      <c r="G68">
        <f>C68/215</f>
        <v>0.64604651162790705</v>
      </c>
      <c r="H68">
        <f t="shared" ref="H68:I77" si="5">D68/215</f>
        <v>0.55720930232558141</v>
      </c>
      <c r="I68">
        <f t="shared" si="5"/>
        <v>0.27069767441860465</v>
      </c>
      <c r="K68">
        <f>K$67/G68</f>
        <v>1.5478761699064074</v>
      </c>
      <c r="L68">
        <f>L$67/H68</f>
        <v>1.7946577629382303</v>
      </c>
      <c r="M68">
        <f>M$67/I68</f>
        <v>1.1082474226804124</v>
      </c>
      <c r="O68">
        <f t="shared" ref="O68:O76" si="6">($B69-$B68)/(G69-G68)</f>
        <v>311.5942028985508</v>
      </c>
      <c r="P68">
        <f t="shared" ref="P68:P76" si="7">($B69-$B68)/(H69-H68)</f>
        <v>340.72900158478603</v>
      </c>
      <c r="Q68">
        <f t="shared" ref="Q68:Q76" si="8">($B69-$B68)/(I69-I68)</f>
        <v>393.77289377289378</v>
      </c>
      <c r="S68">
        <f>O68-215</f>
        <v>96.594202898550805</v>
      </c>
      <c r="T68">
        <f t="shared" ref="T68:U68" si="9">P68-215</f>
        <v>125.72900158478603</v>
      </c>
      <c r="U68">
        <f t="shared" si="9"/>
        <v>178.77289377289378</v>
      </c>
    </row>
    <row r="69" spans="1:21">
      <c r="A69">
        <f t="shared" ref="A69:A77" si="10">1024*1024/B69</f>
        <v>551.88210526315788</v>
      </c>
      <c r="B69">
        <v>1900</v>
      </c>
      <c r="C69">
        <v>207.9</v>
      </c>
      <c r="D69">
        <v>182.9</v>
      </c>
      <c r="E69">
        <v>112.8</v>
      </c>
      <c r="G69">
        <f>C69/215</f>
        <v>0.96697674418604651</v>
      </c>
      <c r="H69">
        <f t="shared" si="5"/>
        <v>0.85069767441860467</v>
      </c>
      <c r="I69">
        <f t="shared" si="5"/>
        <v>0.52465116279069768</v>
      </c>
      <c r="K69">
        <f t="shared" ref="K69:K77" si="11">K$67/G69</f>
        <v>1.034151034151034</v>
      </c>
      <c r="L69">
        <f t="shared" ref="L69:L77" si="12">L$67/H69</f>
        <v>1.1755057408419902</v>
      </c>
      <c r="M69">
        <f t="shared" ref="M69:M77" si="13">M$67/I69</f>
        <v>0.57180851063829785</v>
      </c>
      <c r="O69">
        <f t="shared" si="6"/>
        <v>287.8179384203479</v>
      </c>
      <c r="P69">
        <f t="shared" si="7"/>
        <v>309.79827089337164</v>
      </c>
      <c r="Q69">
        <f t="shared" si="8"/>
        <v>337.51962323390893</v>
      </c>
      <c r="S69">
        <f t="shared" ref="S69:S76" si="14">O69-215</f>
        <v>72.8179384203479</v>
      </c>
      <c r="T69">
        <f t="shared" ref="T69:T76" si="15">P69-215</f>
        <v>94.798270893371637</v>
      </c>
      <c r="U69">
        <f t="shared" ref="U69:U76" si="16">Q69-215</f>
        <v>122.51962323390893</v>
      </c>
    </row>
    <row r="70" spans="1:21">
      <c r="A70">
        <f t="shared" si="10"/>
        <v>524.28800000000001</v>
      </c>
      <c r="B70">
        <v>2000</v>
      </c>
      <c r="C70">
        <v>282.60000000000002</v>
      </c>
      <c r="D70">
        <v>252.3</v>
      </c>
      <c r="E70">
        <v>176.5</v>
      </c>
      <c r="G70">
        <f t="shared" ref="G70:G77" si="17">C70/215</f>
        <v>1.314418604651163</v>
      </c>
      <c r="H70">
        <f t="shared" si="5"/>
        <v>1.1734883720930234</v>
      </c>
      <c r="I70">
        <f t="shared" si="5"/>
        <v>0.82093023255813957</v>
      </c>
      <c r="K70">
        <f t="shared" si="11"/>
        <v>0.7607926397735314</v>
      </c>
      <c r="L70">
        <f t="shared" si="12"/>
        <v>0.85216012683313502</v>
      </c>
      <c r="M70">
        <f t="shared" si="13"/>
        <v>0.36543909348441922</v>
      </c>
      <c r="O70">
        <f t="shared" si="6"/>
        <v>284.01585204755622</v>
      </c>
      <c r="P70">
        <f t="shared" si="7"/>
        <v>299.23451635351432</v>
      </c>
      <c r="Q70">
        <f t="shared" si="8"/>
        <v>317.34317343173427</v>
      </c>
      <c r="S70">
        <f t="shared" si="14"/>
        <v>69.015852047556223</v>
      </c>
      <c r="T70">
        <f t="shared" si="15"/>
        <v>84.234516353514323</v>
      </c>
      <c r="U70">
        <f t="shared" si="16"/>
        <v>102.34317343173427</v>
      </c>
    </row>
    <row r="71" spans="1:21">
      <c r="A71">
        <f t="shared" si="10"/>
        <v>476.62545454545455</v>
      </c>
      <c r="B71">
        <v>2200</v>
      </c>
      <c r="C71">
        <v>434</v>
      </c>
      <c r="D71">
        <v>396</v>
      </c>
      <c r="E71">
        <v>312</v>
      </c>
      <c r="G71">
        <f t="shared" si="17"/>
        <v>2.0186046511627906</v>
      </c>
      <c r="H71">
        <f t="shared" si="5"/>
        <v>1.8418604651162791</v>
      </c>
      <c r="I71">
        <f t="shared" si="5"/>
        <v>1.4511627906976745</v>
      </c>
      <c r="K71">
        <f t="shared" si="11"/>
        <v>0.49539170506912444</v>
      </c>
      <c r="L71">
        <f t="shared" si="12"/>
        <v>0.54292929292929293</v>
      </c>
      <c r="M71">
        <f t="shared" si="13"/>
        <v>0.20673076923076922</v>
      </c>
      <c r="O71">
        <f t="shared" si="6"/>
        <v>255.95238095238093</v>
      </c>
      <c r="P71">
        <f t="shared" si="7"/>
        <v>268.75</v>
      </c>
      <c r="Q71">
        <f t="shared" si="8"/>
        <v>276.82403433476395</v>
      </c>
      <c r="S71">
        <f t="shared" si="14"/>
        <v>40.952380952380935</v>
      </c>
      <c r="T71">
        <f t="shared" si="15"/>
        <v>53.75</v>
      </c>
      <c r="U71">
        <f t="shared" si="16"/>
        <v>61.824034334763951</v>
      </c>
    </row>
    <row r="72" spans="1:21">
      <c r="A72">
        <f t="shared" si="10"/>
        <v>419.43040000000002</v>
      </c>
      <c r="B72">
        <v>2500</v>
      </c>
      <c r="C72">
        <v>686</v>
      </c>
      <c r="D72">
        <v>636</v>
      </c>
      <c r="E72">
        <v>545</v>
      </c>
      <c r="G72">
        <f t="shared" si="17"/>
        <v>3.1906976744186046</v>
      </c>
      <c r="H72">
        <f t="shared" si="5"/>
        <v>2.9581395348837209</v>
      </c>
      <c r="I72">
        <f t="shared" si="5"/>
        <v>2.5348837209302326</v>
      </c>
      <c r="K72">
        <f t="shared" si="11"/>
        <v>0.31341107871720114</v>
      </c>
      <c r="L72">
        <f t="shared" si="12"/>
        <v>0.33805031446540879</v>
      </c>
      <c r="M72">
        <f t="shared" si="13"/>
        <v>0.118348623853211</v>
      </c>
      <c r="O72">
        <f t="shared" si="6"/>
        <v>250.58275058275055</v>
      </c>
      <c r="P72">
        <f t="shared" si="7"/>
        <v>259.66183574879233</v>
      </c>
      <c r="Q72">
        <f t="shared" si="8"/>
        <v>263.48039215686282</v>
      </c>
      <c r="S72">
        <f t="shared" si="14"/>
        <v>35.582750582750549</v>
      </c>
      <c r="T72">
        <f t="shared" si="15"/>
        <v>44.661835748792328</v>
      </c>
      <c r="U72">
        <f t="shared" si="16"/>
        <v>48.48039215686282</v>
      </c>
    </row>
    <row r="73" spans="1:21">
      <c r="A73">
        <f t="shared" si="10"/>
        <v>349.52533333333332</v>
      </c>
      <c r="B73">
        <v>3000</v>
      </c>
      <c r="C73">
        <v>1115</v>
      </c>
      <c r="D73">
        <v>1050</v>
      </c>
      <c r="E73">
        <v>953</v>
      </c>
      <c r="G73">
        <f t="shared" si="17"/>
        <v>5.1860465116279073</v>
      </c>
      <c r="H73">
        <f t="shared" si="5"/>
        <v>4.8837209302325579</v>
      </c>
      <c r="I73">
        <f t="shared" si="5"/>
        <v>4.4325581395348834</v>
      </c>
      <c r="K73">
        <f t="shared" si="11"/>
        <v>0.19282511210762332</v>
      </c>
      <c r="L73">
        <f t="shared" si="12"/>
        <v>0.20476190476190478</v>
      </c>
      <c r="M73">
        <f t="shared" si="13"/>
        <v>6.7681007345225599E-2</v>
      </c>
      <c r="O73">
        <f t="shared" si="6"/>
        <v>240.67164179104481</v>
      </c>
      <c r="P73">
        <f t="shared" si="7"/>
        <v>247.60076775431858</v>
      </c>
      <c r="Q73">
        <f t="shared" si="8"/>
        <v>247.12643678160919</v>
      </c>
      <c r="S73">
        <f t="shared" si="14"/>
        <v>25.671641791044806</v>
      </c>
      <c r="T73">
        <f t="shared" si="15"/>
        <v>32.600767754318582</v>
      </c>
      <c r="U73">
        <f t="shared" si="16"/>
        <v>32.126436781609186</v>
      </c>
    </row>
    <row r="74" spans="1:21">
      <c r="A74">
        <f t="shared" si="10"/>
        <v>291.27111111111111</v>
      </c>
      <c r="B74">
        <v>3600</v>
      </c>
      <c r="C74">
        <v>1651</v>
      </c>
      <c r="D74">
        <v>1571</v>
      </c>
      <c r="E74">
        <v>1475</v>
      </c>
      <c r="G74">
        <f t="shared" si="17"/>
        <v>7.6790697674418604</v>
      </c>
      <c r="H74">
        <f t="shared" si="5"/>
        <v>7.3069767441860467</v>
      </c>
      <c r="I74">
        <f t="shared" si="5"/>
        <v>6.8604651162790695</v>
      </c>
      <c r="K74">
        <f t="shared" si="11"/>
        <v>0.13022410660205935</v>
      </c>
      <c r="L74">
        <f t="shared" si="12"/>
        <v>0.13685550604710375</v>
      </c>
      <c r="M74">
        <f t="shared" si="13"/>
        <v>4.3728813559322031E-2</v>
      </c>
      <c r="O74">
        <f t="shared" si="6"/>
        <v>236.26373626373621</v>
      </c>
      <c r="P74">
        <f t="shared" si="7"/>
        <v>242.48120300751879</v>
      </c>
      <c r="Q74">
        <f t="shared" si="8"/>
        <v>239.48019801980197</v>
      </c>
      <c r="S74">
        <f t="shared" si="14"/>
        <v>21.263736263736206</v>
      </c>
      <c r="T74">
        <f t="shared" si="15"/>
        <v>27.481203007518786</v>
      </c>
      <c r="U74">
        <f t="shared" si="16"/>
        <v>24.480198019801975</v>
      </c>
    </row>
    <row r="75" spans="1:21">
      <c r="A75">
        <f t="shared" si="10"/>
        <v>233.0168888888889</v>
      </c>
      <c r="B75">
        <v>4500</v>
      </c>
      <c r="C75">
        <v>2470</v>
      </c>
      <c r="D75">
        <v>2369</v>
      </c>
      <c r="E75">
        <v>2283</v>
      </c>
      <c r="G75">
        <f t="shared" si="17"/>
        <v>11.488372093023257</v>
      </c>
      <c r="H75">
        <f t="shared" si="5"/>
        <v>11.018604651162791</v>
      </c>
      <c r="I75">
        <f t="shared" si="5"/>
        <v>10.618604651162791</v>
      </c>
      <c r="K75">
        <f t="shared" si="11"/>
        <v>8.7044534412955454E-2</v>
      </c>
      <c r="L75">
        <f t="shared" si="12"/>
        <v>9.0755593077247787E-2</v>
      </c>
      <c r="M75">
        <f t="shared" si="13"/>
        <v>2.8252299605781864E-2</v>
      </c>
      <c r="O75">
        <f t="shared" si="6"/>
        <v>235.97560975609758</v>
      </c>
      <c r="P75">
        <f t="shared" si="7"/>
        <v>241.57303370786522</v>
      </c>
      <c r="Q75">
        <f t="shared" si="8"/>
        <v>236.84210526315786</v>
      </c>
      <c r="S75">
        <f t="shared" si="14"/>
        <v>20.975609756097583</v>
      </c>
      <c r="T75">
        <f t="shared" si="15"/>
        <v>26.573033707865221</v>
      </c>
      <c r="U75">
        <f t="shared" si="16"/>
        <v>21.842105263157862</v>
      </c>
    </row>
    <row r="76" spans="1:21">
      <c r="A76">
        <f t="shared" si="10"/>
        <v>194.18074074074073</v>
      </c>
      <c r="B76">
        <v>5400</v>
      </c>
      <c r="C76">
        <v>3290</v>
      </c>
      <c r="D76">
        <v>3170</v>
      </c>
      <c r="E76">
        <v>3100</v>
      </c>
      <c r="G76">
        <f t="shared" si="17"/>
        <v>15.302325581395349</v>
      </c>
      <c r="H76">
        <f t="shared" si="5"/>
        <v>14.744186046511627</v>
      </c>
      <c r="I76">
        <f t="shared" si="5"/>
        <v>14.418604651162791</v>
      </c>
      <c r="K76">
        <f t="shared" si="11"/>
        <v>6.5349544072948323E-2</v>
      </c>
      <c r="L76">
        <f t="shared" si="12"/>
        <v>6.782334384858045E-2</v>
      </c>
      <c r="M76">
        <f t="shared" si="13"/>
        <v>2.0806451612903225E-2</v>
      </c>
      <c r="O76">
        <f t="shared" si="6"/>
        <v>233.13253012048204</v>
      </c>
      <c r="P76">
        <f t="shared" si="7"/>
        <v>238.8888888888888</v>
      </c>
      <c r="Q76">
        <f t="shared" si="8"/>
        <v>233.13253012048193</v>
      </c>
      <c r="S76">
        <f t="shared" si="14"/>
        <v>18.132530120482045</v>
      </c>
      <c r="T76">
        <f t="shared" si="15"/>
        <v>23.8888888888888</v>
      </c>
      <c r="U76">
        <f t="shared" si="16"/>
        <v>18.132530120481931</v>
      </c>
    </row>
    <row r="77" spans="1:21">
      <c r="A77">
        <f t="shared" si="10"/>
        <v>166.44063492063492</v>
      </c>
      <c r="B77">
        <v>6300</v>
      </c>
      <c r="C77">
        <v>4120</v>
      </c>
      <c r="D77">
        <v>3980</v>
      </c>
      <c r="E77">
        <v>3930</v>
      </c>
      <c r="G77">
        <f t="shared" si="17"/>
        <v>19.162790697674417</v>
      </c>
      <c r="H77">
        <f t="shared" si="5"/>
        <v>18.511627906976745</v>
      </c>
      <c r="I77">
        <f t="shared" si="5"/>
        <v>18.279069767441861</v>
      </c>
      <c r="K77">
        <f t="shared" si="11"/>
        <v>5.218446601941748E-2</v>
      </c>
      <c r="L77">
        <f t="shared" si="12"/>
        <v>5.4020100502512561E-2</v>
      </c>
      <c r="M77">
        <f t="shared" si="13"/>
        <v>1.6412213740458013E-2</v>
      </c>
    </row>
    <row r="146" spans="2:11">
      <c r="B146" t="s">
        <v>398</v>
      </c>
      <c r="C146" s="8">
        <v>1.71</v>
      </c>
      <c r="D146" s="8">
        <v>1.77</v>
      </c>
      <c r="E146" s="8">
        <v>1.82</v>
      </c>
      <c r="F146" s="8">
        <v>1.87</v>
      </c>
      <c r="G146" t="s">
        <v>398</v>
      </c>
      <c r="H146" s="7">
        <v>1.67</v>
      </c>
      <c r="I146" s="7">
        <v>1.81</v>
      </c>
      <c r="J146" s="7">
        <v>1.94</v>
      </c>
      <c r="K146" s="7">
        <v>2</v>
      </c>
    </row>
    <row r="147" spans="2:11">
      <c r="B147" t="s">
        <v>399</v>
      </c>
      <c r="C147" s="8">
        <v>2</v>
      </c>
      <c r="D147" s="8">
        <v>3</v>
      </c>
      <c r="E147" s="8">
        <v>4</v>
      </c>
      <c r="F147" s="8">
        <v>5</v>
      </c>
      <c r="G147" t="s">
        <v>348</v>
      </c>
      <c r="H147" s="7">
        <v>1.8</v>
      </c>
      <c r="I147" s="7">
        <v>3</v>
      </c>
      <c r="J147" s="7">
        <v>5</v>
      </c>
      <c r="K147" s="7">
        <v>6.3</v>
      </c>
    </row>
    <row r="148" spans="2:11">
      <c r="B148" t="s">
        <v>400</v>
      </c>
      <c r="C148" s="8">
        <v>1.5</v>
      </c>
      <c r="D148" s="8">
        <v>7.5</v>
      </c>
      <c r="E148" s="8">
        <v>15</v>
      </c>
      <c r="F148" s="8">
        <v>25</v>
      </c>
      <c r="G148" t="s">
        <v>202</v>
      </c>
      <c r="H148" s="7">
        <v>0.6</v>
      </c>
      <c r="I148" s="7">
        <v>7.3</v>
      </c>
      <c r="J148" s="7">
        <v>24</v>
      </c>
      <c r="K148" s="7">
        <v>30</v>
      </c>
    </row>
    <row r="149" spans="2:11">
      <c r="B149" t="s">
        <v>401</v>
      </c>
      <c r="C149" s="8">
        <f>1.024/C147*1023</f>
        <v>523.77600000000007</v>
      </c>
      <c r="D149" s="8">
        <f>1.024/D147*1023</f>
        <v>349.18399999999997</v>
      </c>
      <c r="E149" s="8">
        <f>1.024/E147*1023</f>
        <v>261.88800000000003</v>
      </c>
      <c r="F149" s="8">
        <f>1.024/F147*1023</f>
        <v>209.5104</v>
      </c>
      <c r="G149" s="8" t="s">
        <v>426</v>
      </c>
      <c r="H149" s="7">
        <f>H146/H147*1023</f>
        <v>949.11666666666656</v>
      </c>
      <c r="I149" s="7">
        <f>I146/I147*1023</f>
        <v>617.21</v>
      </c>
      <c r="J149" s="7">
        <f>J146/J147*1023</f>
        <v>396.92400000000004</v>
      </c>
      <c r="K149" s="7">
        <f>K146/K147*1023</f>
        <v>324.76190476190476</v>
      </c>
    </row>
    <row r="150" spans="2:11">
      <c r="B150" t="s">
        <v>405</v>
      </c>
      <c r="C150" s="56">
        <v>700</v>
      </c>
      <c r="D150" s="8">
        <f>C150</f>
        <v>700</v>
      </c>
      <c r="E150" s="8">
        <f>C150</f>
        <v>700</v>
      </c>
      <c r="F150" s="8">
        <f>C150</f>
        <v>700</v>
      </c>
      <c r="G150" t="s">
        <v>472</v>
      </c>
      <c r="H150" s="59">
        <v>-15</v>
      </c>
      <c r="I150" s="7">
        <f>H150</f>
        <v>-15</v>
      </c>
      <c r="J150" s="7">
        <f>H150</f>
        <v>-15</v>
      </c>
      <c r="K150" s="7">
        <f>H150</f>
        <v>-15</v>
      </c>
    </row>
    <row r="151" spans="2:11">
      <c r="B151" t="s">
        <v>402</v>
      </c>
      <c r="C151" s="57">
        <f>C150-C149</f>
        <v>176.22399999999993</v>
      </c>
      <c r="D151" s="57">
        <f>D150-D149</f>
        <v>350.81600000000003</v>
      </c>
      <c r="E151" s="57">
        <f>E150-E149</f>
        <v>438.11199999999997</v>
      </c>
      <c r="F151" s="57">
        <f>F150-F149</f>
        <v>490.4896</v>
      </c>
      <c r="G151" t="s">
        <v>402</v>
      </c>
      <c r="H151" s="60">
        <f>(H147-H146)/H147*1023+H150</f>
        <v>58.883333333333397</v>
      </c>
      <c r="I151" s="60">
        <f>(I147-I146)/I147*1023+I150</f>
        <v>390.79</v>
      </c>
      <c r="J151" s="60">
        <f>(J147-J146)/J147*1023+J150</f>
        <v>611.07600000000002</v>
      </c>
      <c r="K151" s="60">
        <f>(K147-K146)/K147*1023+K150</f>
        <v>683.2380952380953</v>
      </c>
    </row>
    <row r="152" spans="2:11">
      <c r="B152" t="s">
        <v>406</v>
      </c>
      <c r="C152" s="56">
        <v>120</v>
      </c>
      <c r="D152" s="8">
        <f>C152</f>
        <v>120</v>
      </c>
      <c r="E152" s="8">
        <f>C152</f>
        <v>120</v>
      </c>
      <c r="F152" s="8">
        <f>C152</f>
        <v>120</v>
      </c>
      <c r="G152" t="s">
        <v>473</v>
      </c>
      <c r="H152" s="59">
        <v>45</v>
      </c>
      <c r="I152" s="7">
        <f>H152</f>
        <v>45</v>
      </c>
      <c r="J152" s="7">
        <f>H152</f>
        <v>45</v>
      </c>
      <c r="K152" s="7">
        <f>H152</f>
        <v>45</v>
      </c>
    </row>
    <row r="153" spans="2:11">
      <c r="B153" t="s">
        <v>403</v>
      </c>
      <c r="C153" s="8">
        <f>(C149-C152)/4</f>
        <v>100.94400000000002</v>
      </c>
      <c r="D153" s="8">
        <f>(D149-D152)/4</f>
        <v>57.295999999999992</v>
      </c>
      <c r="E153" s="8">
        <f>(E149-E152)/4</f>
        <v>35.472000000000008</v>
      </c>
      <c r="F153" s="8">
        <f>(F149-F152)/4</f>
        <v>22.377600000000001</v>
      </c>
      <c r="G153" t="s">
        <v>403</v>
      </c>
      <c r="H153" s="7">
        <f>(1023/H147-H152)/16</f>
        <v>32.708333333333336</v>
      </c>
      <c r="I153" s="7">
        <f t="shared" ref="I153:K153" si="18">(1023/I147-I152)/16</f>
        <v>18.5</v>
      </c>
      <c r="J153" s="7">
        <f t="shared" si="18"/>
        <v>9.9749999999999996</v>
      </c>
      <c r="K153" s="7">
        <f t="shared" si="18"/>
        <v>7.3363095238095237</v>
      </c>
    </row>
    <row r="154" spans="2:11">
      <c r="B154" t="s">
        <v>404</v>
      </c>
      <c r="C154" s="8">
        <f>C148*C153/C151</f>
        <v>0.85922462320682813</v>
      </c>
      <c r="D154" s="8">
        <f>D148*D153/D151</f>
        <v>1.2249156252850493</v>
      </c>
      <c r="E154" s="8">
        <f>E148*E153/E151</f>
        <v>1.2144839675699368</v>
      </c>
      <c r="F154" s="8">
        <f>F148*F153/F151</f>
        <v>1.1405746421534728</v>
      </c>
      <c r="G154" t="s">
        <v>404</v>
      </c>
      <c r="H154" s="7">
        <f>H148*H153/H151</f>
        <v>0.33328615907161019</v>
      </c>
      <c r="I154" s="7">
        <f>I148*I153/I151</f>
        <v>0.34558202615215328</v>
      </c>
      <c r="J154" s="7">
        <f>J148*J153/J151</f>
        <v>0.39176796339571507</v>
      </c>
      <c r="K154" s="7">
        <f>K148*K153/K151</f>
        <v>0.32212677725118483</v>
      </c>
    </row>
    <row r="158" spans="2:11">
      <c r="C158" t="s">
        <v>737</v>
      </c>
    </row>
    <row r="159" spans="2:11">
      <c r="C159" t="s">
        <v>738</v>
      </c>
      <c r="D159">
        <v>1.8</v>
      </c>
      <c r="E159" s="5" t="s">
        <v>739</v>
      </c>
    </row>
    <row r="160" spans="2:11">
      <c r="C160" t="s">
        <v>404</v>
      </c>
      <c r="D160">
        <v>0.5</v>
      </c>
      <c r="E160" s="5" t="s">
        <v>740</v>
      </c>
    </row>
    <row r="161" spans="3:5">
      <c r="C161" t="s">
        <v>734</v>
      </c>
      <c r="D161">
        <v>4</v>
      </c>
      <c r="E161" s="5" t="s">
        <v>39</v>
      </c>
    </row>
    <row r="162" spans="3:5">
      <c r="C162" t="s">
        <v>735</v>
      </c>
      <c r="D162" s="192">
        <v>0.4</v>
      </c>
      <c r="E162" s="5"/>
    </row>
    <row r="163" spans="3:5">
      <c r="C163" t="s">
        <v>736</v>
      </c>
      <c r="D163">
        <f>D160*2/D162</f>
        <v>2.5</v>
      </c>
    </row>
    <row r="164" spans="3:5">
      <c r="C164" s="5" t="s">
        <v>741</v>
      </c>
      <c r="D164">
        <f>D163/(D161*D162)</f>
        <v>1.5625</v>
      </c>
      <c r="E164" s="5" t="s">
        <v>743</v>
      </c>
    </row>
    <row r="165" spans="3:5">
      <c r="C165" s="5" t="s">
        <v>742</v>
      </c>
      <c r="D165">
        <f>D159/D164</f>
        <v>1.1520000000000001</v>
      </c>
      <c r="E165" s="5" t="s">
        <v>744</v>
      </c>
    </row>
  </sheetData>
  <mergeCells count="9">
    <mergeCell ref="S66:U66"/>
    <mergeCell ref="K66:M66"/>
    <mergeCell ref="M44:P47"/>
    <mergeCell ref="J39:L39"/>
    <mergeCell ref="J44:L44"/>
    <mergeCell ref="J49:L49"/>
    <mergeCell ref="C66:E66"/>
    <mergeCell ref="G66:I66"/>
    <mergeCell ref="O66:Q66"/>
  </mergeCells>
  <phoneticPr fontId="1"/>
  <pageMargins left="0.7" right="0.7" top="0.75" bottom="0.75" header="0.3" footer="0.3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15</xdr:col>
                <xdr:colOff>396240</xdr:colOff>
                <xdr:row>23</xdr:row>
                <xdr:rowOff>38100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5" r:id="rId5">
          <objectPr defaultSize="0" autoPict="0" r:id="rId6">
            <anchor moveWithCells="1">
              <from>
                <xdr:col>9</xdr:col>
                <xdr:colOff>0</xdr:colOff>
                <xdr:row>39</xdr:row>
                <xdr:rowOff>22860</xdr:rowOff>
              </from>
              <to>
                <xdr:col>11</xdr:col>
                <xdr:colOff>784860</xdr:colOff>
                <xdr:row>41</xdr:row>
                <xdr:rowOff>152400</xdr:rowOff>
              </to>
            </anchor>
          </objectPr>
        </oleObject>
      </mc:Choice>
      <mc:Fallback>
        <oleObject progId="Equation.3" shapeId="8195" r:id="rId5"/>
      </mc:Fallback>
    </mc:AlternateContent>
    <mc:AlternateContent xmlns:mc="http://schemas.openxmlformats.org/markup-compatibility/2006">
      <mc:Choice Requires="x14">
        <oleObject progId="Equation.3" shapeId="8196" r:id="rId7">
          <objectPr defaultSize="0" autoPict="0" r:id="rId8">
            <anchor moveWithCells="1">
              <from>
                <xdr:col>9</xdr:col>
                <xdr:colOff>38100</xdr:colOff>
                <xdr:row>44</xdr:row>
                <xdr:rowOff>0</xdr:rowOff>
              </from>
              <to>
                <xdr:col>11</xdr:col>
                <xdr:colOff>822960</xdr:colOff>
                <xdr:row>46</xdr:row>
                <xdr:rowOff>129540</xdr:rowOff>
              </to>
            </anchor>
          </objectPr>
        </oleObject>
      </mc:Choice>
      <mc:Fallback>
        <oleObject progId="Equation.3" shapeId="8196" r:id="rId7"/>
      </mc:Fallback>
    </mc:AlternateContent>
    <mc:AlternateContent xmlns:mc="http://schemas.openxmlformats.org/markup-compatibility/2006">
      <mc:Choice Requires="x14">
        <oleObject progId="Equation.3" shapeId="8197" r:id="rId9">
          <objectPr defaultSize="0" autoPict="0" r:id="rId10">
            <anchor moveWithCells="1">
              <from>
                <xdr:col>9</xdr:col>
                <xdr:colOff>0</xdr:colOff>
                <xdr:row>49</xdr:row>
                <xdr:rowOff>22860</xdr:rowOff>
              </from>
              <to>
                <xdr:col>11</xdr:col>
                <xdr:colOff>784860</xdr:colOff>
                <xdr:row>51</xdr:row>
                <xdr:rowOff>152400</xdr:rowOff>
              </to>
            </anchor>
          </objectPr>
        </oleObject>
      </mc:Choice>
      <mc:Fallback>
        <oleObject progId="Equation.3" shapeId="8197" r:id="rId9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0"/>
  <sheetViews>
    <sheetView topLeftCell="A25" workbookViewId="0">
      <selection activeCell="A45" sqref="A45"/>
    </sheetView>
  </sheetViews>
  <sheetFormatPr defaultColWidth="12.69921875" defaultRowHeight="14.4"/>
  <cols>
    <col min="1" max="1" width="26.796875" customWidth="1"/>
    <col min="2" max="9" width="11" bestFit="1" customWidth="1"/>
    <col min="10" max="10" width="2.19921875" bestFit="1" customWidth="1"/>
    <col min="11" max="11" width="68.69921875" bestFit="1" customWidth="1"/>
  </cols>
  <sheetData>
    <row r="1" spans="1:12">
      <c r="J1" t="s">
        <v>164</v>
      </c>
    </row>
    <row r="2" spans="1:12">
      <c r="A2" s="460" t="s">
        <v>286</v>
      </c>
      <c r="B2" s="353"/>
      <c r="C2" s="353"/>
      <c r="D2" s="353"/>
      <c r="E2" s="353"/>
      <c r="F2" s="353"/>
      <c r="G2" s="353"/>
      <c r="H2" s="353"/>
      <c r="I2" s="353"/>
      <c r="K2" s="455" t="s">
        <v>287</v>
      </c>
      <c r="L2">
        <f>256*256/257*100000/3600</f>
        <v>7083.4414180717677</v>
      </c>
    </row>
    <row r="3" spans="1:12">
      <c r="A3" s="353"/>
      <c r="B3" s="353"/>
      <c r="C3" s="353"/>
      <c r="D3" s="353"/>
      <c r="E3" s="353"/>
      <c r="F3" s="353"/>
      <c r="G3" s="353"/>
      <c r="H3" s="353"/>
      <c r="I3" s="353"/>
      <c r="K3" s="455"/>
    </row>
    <row r="4" spans="1:12">
      <c r="A4" s="38"/>
      <c r="B4" s="38"/>
      <c r="C4" s="38"/>
      <c r="D4" s="38"/>
      <c r="E4" s="38"/>
      <c r="F4" s="38"/>
      <c r="G4" s="38"/>
      <c r="H4" s="38"/>
      <c r="I4" s="38"/>
    </row>
    <row r="5" spans="1:12">
      <c r="A5" s="38"/>
      <c r="B5" s="39">
        <v>1</v>
      </c>
      <c r="C5" s="39">
        <v>1</v>
      </c>
      <c r="D5" s="39">
        <v>1</v>
      </c>
      <c r="E5" s="39">
        <v>1</v>
      </c>
      <c r="F5" s="39">
        <v>1</v>
      </c>
      <c r="G5" s="48">
        <v>1</v>
      </c>
      <c r="H5" s="49">
        <v>0</v>
      </c>
      <c r="I5" s="39">
        <v>0</v>
      </c>
    </row>
    <row r="6" spans="1:12">
      <c r="A6" s="38"/>
      <c r="B6" s="39"/>
      <c r="C6" s="39"/>
      <c r="D6" s="39"/>
      <c r="E6" s="39"/>
      <c r="F6" s="39"/>
      <c r="G6" s="39"/>
      <c r="H6" s="39" t="s">
        <v>262</v>
      </c>
      <c r="I6" s="39" t="s">
        <v>263</v>
      </c>
    </row>
    <row r="7" spans="1:12">
      <c r="B7" s="39">
        <v>1</v>
      </c>
      <c r="C7" s="39">
        <v>1</v>
      </c>
      <c r="D7" s="39">
        <v>1</v>
      </c>
      <c r="E7" s="39">
        <v>1</v>
      </c>
      <c r="F7" s="39">
        <v>1</v>
      </c>
      <c r="G7" s="39">
        <v>1</v>
      </c>
      <c r="H7" s="48">
        <v>1</v>
      </c>
      <c r="I7" s="49">
        <v>0</v>
      </c>
    </row>
    <row r="8" spans="1:12">
      <c r="B8" s="39" t="s">
        <v>263</v>
      </c>
      <c r="C8" s="39"/>
      <c r="D8" s="39"/>
      <c r="E8" s="39"/>
      <c r="F8" s="39"/>
      <c r="G8" s="39"/>
      <c r="H8" s="39"/>
      <c r="I8" s="39" t="s">
        <v>262</v>
      </c>
    </row>
    <row r="9" spans="1:12">
      <c r="B9" s="49">
        <v>1</v>
      </c>
      <c r="C9" s="39">
        <v>1</v>
      </c>
      <c r="D9" s="39">
        <v>1</v>
      </c>
      <c r="E9" s="39">
        <v>1</v>
      </c>
      <c r="F9" s="39">
        <v>1</v>
      </c>
      <c r="G9" s="39">
        <v>1</v>
      </c>
      <c r="H9" s="39">
        <v>1</v>
      </c>
      <c r="I9" s="48">
        <v>1</v>
      </c>
    </row>
    <row r="10" spans="1:12">
      <c r="B10" s="39" t="s">
        <v>262</v>
      </c>
      <c r="C10" s="39" t="s">
        <v>263</v>
      </c>
      <c r="D10" s="39"/>
      <c r="E10" s="39"/>
      <c r="F10" s="39"/>
      <c r="G10" s="39"/>
      <c r="H10" s="39"/>
      <c r="I10" s="39"/>
    </row>
    <row r="11" spans="1:12">
      <c r="B11" s="48">
        <v>0</v>
      </c>
      <c r="C11" s="49">
        <v>1</v>
      </c>
      <c r="D11" s="39">
        <v>1</v>
      </c>
      <c r="E11" s="39">
        <v>1</v>
      </c>
      <c r="F11" s="39">
        <v>1</v>
      </c>
      <c r="G11" s="39">
        <v>1</v>
      </c>
      <c r="H11" s="39">
        <v>1</v>
      </c>
      <c r="I11" s="39">
        <v>1</v>
      </c>
    </row>
    <row r="12" spans="1:12">
      <c r="B12" s="39"/>
      <c r="C12" s="39" t="s">
        <v>262</v>
      </c>
      <c r="D12" s="39" t="s">
        <v>263</v>
      </c>
      <c r="E12" s="39"/>
      <c r="F12" s="39"/>
      <c r="G12" s="39"/>
      <c r="H12" s="39"/>
      <c r="I12" s="39"/>
    </row>
    <row r="13" spans="1:12">
      <c r="B13" s="39">
        <v>0</v>
      </c>
      <c r="C13" s="48">
        <v>0</v>
      </c>
      <c r="D13" s="49">
        <v>1</v>
      </c>
      <c r="E13" s="39">
        <v>1</v>
      </c>
      <c r="F13" s="39">
        <v>1</v>
      </c>
      <c r="G13" s="39">
        <v>1</v>
      </c>
      <c r="H13" s="39">
        <v>1</v>
      </c>
      <c r="I13" s="39">
        <v>1</v>
      </c>
    </row>
    <row r="14" spans="1:12">
      <c r="B14" s="39"/>
      <c r="C14" s="39"/>
      <c r="D14" s="39" t="s">
        <v>262</v>
      </c>
      <c r="E14" s="39" t="s">
        <v>263</v>
      </c>
      <c r="F14" s="39"/>
      <c r="G14" s="39"/>
      <c r="H14" s="39"/>
      <c r="I14" s="39"/>
    </row>
    <row r="15" spans="1:12">
      <c r="B15" s="39">
        <v>0</v>
      </c>
      <c r="C15" s="39">
        <v>0</v>
      </c>
      <c r="D15" s="48">
        <v>0</v>
      </c>
      <c r="E15" s="49">
        <v>1</v>
      </c>
      <c r="F15" s="39">
        <v>1</v>
      </c>
      <c r="G15" s="39">
        <v>1</v>
      </c>
      <c r="H15" s="39">
        <v>1</v>
      </c>
      <c r="I15" s="39">
        <v>1</v>
      </c>
    </row>
    <row r="16" spans="1:12">
      <c r="B16" s="39"/>
      <c r="C16" s="39"/>
      <c r="D16" s="39"/>
      <c r="E16" s="39" t="s">
        <v>262</v>
      </c>
      <c r="F16" s="39" t="s">
        <v>263</v>
      </c>
      <c r="G16" s="39"/>
      <c r="H16" s="39"/>
      <c r="I16" s="39"/>
    </row>
    <row r="17" spans="2:9">
      <c r="B17" s="39">
        <v>0</v>
      </c>
      <c r="C17" s="39">
        <v>0</v>
      </c>
      <c r="D17" s="39">
        <v>0</v>
      </c>
      <c r="E17" s="48">
        <v>0</v>
      </c>
      <c r="F17" s="49">
        <v>1</v>
      </c>
      <c r="G17" s="39">
        <v>1</v>
      </c>
      <c r="H17" s="39">
        <v>1</v>
      </c>
      <c r="I17" s="39">
        <v>1</v>
      </c>
    </row>
    <row r="18" spans="2:9">
      <c r="B18" s="39"/>
      <c r="C18" s="39"/>
      <c r="D18" s="39"/>
      <c r="E18" s="39"/>
      <c r="F18" s="39" t="s">
        <v>262</v>
      </c>
      <c r="G18" s="39" t="s">
        <v>263</v>
      </c>
      <c r="H18" s="39"/>
      <c r="I18" s="39"/>
    </row>
    <row r="19" spans="2:9">
      <c r="B19" s="39">
        <v>0</v>
      </c>
      <c r="C19" s="39">
        <v>0</v>
      </c>
      <c r="D19" s="39">
        <v>0</v>
      </c>
      <c r="E19" s="39">
        <v>0</v>
      </c>
      <c r="F19" s="48">
        <v>0</v>
      </c>
      <c r="G19" s="49">
        <v>1</v>
      </c>
      <c r="H19" s="39">
        <v>1</v>
      </c>
      <c r="I19" s="39">
        <v>1</v>
      </c>
    </row>
    <row r="20" spans="2:9">
      <c r="B20" s="39"/>
      <c r="C20" s="39"/>
      <c r="D20" s="39"/>
      <c r="E20" s="39"/>
      <c r="F20" s="39"/>
      <c r="G20" s="39" t="s">
        <v>262</v>
      </c>
      <c r="H20" s="39" t="s">
        <v>263</v>
      </c>
      <c r="I20" s="39"/>
    </row>
    <row r="21" spans="2:9">
      <c r="B21" s="39">
        <v>0</v>
      </c>
      <c r="C21" s="39">
        <v>0</v>
      </c>
      <c r="D21" s="39">
        <v>0</v>
      </c>
      <c r="E21" s="39">
        <v>0</v>
      </c>
      <c r="F21" s="39">
        <v>0</v>
      </c>
      <c r="G21" s="48">
        <v>0</v>
      </c>
      <c r="H21" s="49">
        <v>1</v>
      </c>
      <c r="I21" s="39">
        <v>1</v>
      </c>
    </row>
    <row r="22" spans="2:9">
      <c r="B22" s="39"/>
      <c r="C22" s="39"/>
      <c r="D22" s="39"/>
      <c r="E22" s="39"/>
      <c r="F22" s="39"/>
      <c r="G22" s="39"/>
      <c r="H22" s="39" t="s">
        <v>262</v>
      </c>
      <c r="I22" s="39" t="s">
        <v>263</v>
      </c>
    </row>
    <row r="23" spans="2:9"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48">
        <v>0</v>
      </c>
      <c r="I23" s="49">
        <v>1</v>
      </c>
    </row>
    <row r="24" spans="2:9">
      <c r="B24" s="39" t="s">
        <v>263</v>
      </c>
      <c r="C24" s="39"/>
      <c r="D24" s="39"/>
      <c r="E24" s="39"/>
      <c r="F24" s="39"/>
      <c r="G24" s="39"/>
      <c r="H24" s="39"/>
      <c r="I24" s="39" t="s">
        <v>262</v>
      </c>
    </row>
    <row r="25" spans="2:9">
      <c r="B25" s="4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48">
        <v>0</v>
      </c>
    </row>
    <row r="26" spans="2:9">
      <c r="B26" s="39" t="s">
        <v>262</v>
      </c>
      <c r="C26" s="39" t="s">
        <v>263</v>
      </c>
      <c r="D26" s="39"/>
      <c r="E26" s="39"/>
      <c r="F26" s="39"/>
      <c r="G26" s="39"/>
      <c r="H26" s="39"/>
      <c r="I26" s="39"/>
    </row>
    <row r="27" spans="2:9">
      <c r="B27" s="48">
        <v>1</v>
      </c>
      <c r="C27" s="4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</row>
    <row r="28" spans="2:9">
      <c r="B28" s="39"/>
      <c r="C28" s="39" t="s">
        <v>262</v>
      </c>
      <c r="D28" s="39" t="s">
        <v>263</v>
      </c>
      <c r="E28" s="39"/>
      <c r="F28" s="39"/>
      <c r="G28" s="39"/>
      <c r="H28" s="39"/>
      <c r="I28" s="39"/>
    </row>
    <row r="29" spans="2:9">
      <c r="B29" s="39">
        <v>1</v>
      </c>
      <c r="C29" s="48">
        <v>1</v>
      </c>
      <c r="D29" s="4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</row>
    <row r="30" spans="2:9">
      <c r="B30" s="39"/>
      <c r="C30" s="39"/>
      <c r="D30" s="39"/>
      <c r="E30" s="39"/>
      <c r="F30" s="39"/>
      <c r="G30" s="39"/>
      <c r="H30" s="39"/>
      <c r="I30" s="39"/>
    </row>
    <row r="33" spans="1:11">
      <c r="A33" s="38" t="s">
        <v>276</v>
      </c>
      <c r="B33" s="456"/>
      <c r="C33" s="456"/>
      <c r="D33" s="456"/>
      <c r="E33" s="456"/>
      <c r="F33" s="456"/>
      <c r="G33" s="456"/>
      <c r="H33" s="456"/>
      <c r="I33" s="456"/>
    </row>
    <row r="34" spans="1:11">
      <c r="A34">
        <v>1</v>
      </c>
      <c r="B34" s="456" t="s">
        <v>283</v>
      </c>
      <c r="C34" s="456"/>
      <c r="D34" s="456"/>
      <c r="E34" s="456"/>
      <c r="F34" s="456"/>
      <c r="G34" s="456"/>
      <c r="H34" s="456"/>
      <c r="I34" s="456"/>
    </row>
    <row r="35" spans="1:11">
      <c r="A35">
        <v>2</v>
      </c>
      <c r="B35" s="456" t="s">
        <v>278</v>
      </c>
      <c r="C35" s="456"/>
      <c r="D35" s="456"/>
      <c r="E35" s="456"/>
      <c r="F35" s="456"/>
      <c r="G35" s="456"/>
      <c r="H35" s="456"/>
      <c r="I35" s="456"/>
    </row>
    <row r="36" spans="1:11">
      <c r="A36">
        <v>3</v>
      </c>
      <c r="B36" s="456" t="s">
        <v>284</v>
      </c>
      <c r="C36" s="456"/>
      <c r="D36" s="456"/>
      <c r="E36" s="456"/>
      <c r="F36" s="456"/>
      <c r="G36" s="456"/>
      <c r="H36" s="456"/>
      <c r="I36" s="456"/>
    </row>
    <row r="37" spans="1:11">
      <c r="A37">
        <v>4</v>
      </c>
      <c r="B37" s="456" t="s">
        <v>279</v>
      </c>
      <c r="C37" s="456"/>
      <c r="D37" s="456"/>
      <c r="E37" s="456"/>
      <c r="F37" s="456"/>
      <c r="G37" s="456"/>
      <c r="H37" s="456"/>
      <c r="I37" s="456"/>
    </row>
    <row r="38" spans="1:11">
      <c r="B38" s="456"/>
      <c r="C38" s="456"/>
      <c r="D38" s="456"/>
      <c r="E38" s="456"/>
      <c r="F38" s="456"/>
      <c r="G38" s="456"/>
      <c r="H38" s="456"/>
      <c r="I38" s="456"/>
    </row>
    <row r="39" spans="1:11">
      <c r="B39" s="456"/>
      <c r="C39" s="456"/>
      <c r="D39" s="456"/>
      <c r="E39" s="456"/>
      <c r="F39" s="456"/>
      <c r="G39" s="456"/>
      <c r="H39" s="456"/>
      <c r="I39" s="456"/>
    </row>
    <row r="40" spans="1:11">
      <c r="A40" s="47" t="s">
        <v>304</v>
      </c>
      <c r="B40" s="456" t="s">
        <v>274</v>
      </c>
      <c r="C40" s="456"/>
      <c r="D40" s="456"/>
      <c r="E40" s="456"/>
      <c r="F40" s="456"/>
      <c r="G40" s="456"/>
      <c r="H40" s="456"/>
      <c r="I40" s="456"/>
      <c r="K40" t="s">
        <v>266</v>
      </c>
    </row>
    <row r="41" spans="1:11">
      <c r="A41" s="47" t="s">
        <v>305</v>
      </c>
      <c r="B41" s="456" t="s">
        <v>264</v>
      </c>
      <c r="C41" s="456"/>
      <c r="D41" s="456"/>
      <c r="E41" s="456"/>
      <c r="F41" s="456"/>
      <c r="G41" s="456"/>
      <c r="H41" s="456"/>
      <c r="I41" s="456"/>
      <c r="K41" t="s">
        <v>266</v>
      </c>
    </row>
    <row r="42" spans="1:11">
      <c r="A42" s="47" t="s">
        <v>269</v>
      </c>
      <c r="B42" s="456" t="s">
        <v>267</v>
      </c>
      <c r="C42" s="456"/>
      <c r="D42" s="456"/>
      <c r="E42" s="456"/>
      <c r="F42" s="456"/>
      <c r="G42" s="456"/>
      <c r="H42" s="456"/>
      <c r="I42" s="456"/>
      <c r="K42" t="s">
        <v>273</v>
      </c>
    </row>
    <row r="43" spans="1:11">
      <c r="A43" s="47" t="s">
        <v>301</v>
      </c>
      <c r="B43" s="456" t="s">
        <v>271</v>
      </c>
      <c r="C43" s="456"/>
      <c r="D43" s="456"/>
      <c r="E43" s="456"/>
      <c r="F43" s="456"/>
      <c r="G43" s="456"/>
      <c r="H43" s="456"/>
      <c r="I43" s="456"/>
      <c r="K43" t="s">
        <v>288</v>
      </c>
    </row>
    <row r="44" spans="1:11">
      <c r="A44" s="47" t="s">
        <v>302</v>
      </c>
      <c r="B44" s="456" t="s">
        <v>265</v>
      </c>
      <c r="C44" s="456"/>
      <c r="D44" s="456"/>
      <c r="E44" s="456"/>
      <c r="F44" s="456"/>
      <c r="G44" s="456"/>
      <c r="H44" s="456"/>
      <c r="I44" s="456"/>
      <c r="K44" t="s">
        <v>270</v>
      </c>
    </row>
    <row r="45" spans="1:11">
      <c r="A45" s="47" t="s">
        <v>303</v>
      </c>
      <c r="B45" s="456" t="s">
        <v>275</v>
      </c>
      <c r="C45" s="456"/>
      <c r="D45" s="456"/>
      <c r="E45" s="456"/>
      <c r="F45" s="456"/>
      <c r="G45" s="456"/>
      <c r="H45" s="456"/>
      <c r="I45" s="456"/>
      <c r="K45" t="s">
        <v>272</v>
      </c>
    </row>
    <row r="46" spans="1:11">
      <c r="B46" s="456"/>
      <c r="C46" s="456"/>
      <c r="D46" s="456"/>
      <c r="E46" s="456"/>
      <c r="F46" s="456"/>
      <c r="G46" s="456"/>
      <c r="H46" s="456"/>
      <c r="I46" s="456"/>
    </row>
    <row r="47" spans="1:11">
      <c r="A47" s="38" t="s">
        <v>268</v>
      </c>
      <c r="B47" s="456" t="s">
        <v>285</v>
      </c>
      <c r="C47" s="456"/>
      <c r="D47" s="456"/>
      <c r="E47" s="456"/>
      <c r="F47" s="456"/>
      <c r="G47" s="456"/>
      <c r="H47" s="456"/>
      <c r="I47" s="456"/>
    </row>
    <row r="48" spans="1:11">
      <c r="A48">
        <v>1</v>
      </c>
      <c r="B48" s="456" t="s">
        <v>277</v>
      </c>
      <c r="C48" s="456"/>
      <c r="D48" s="456"/>
      <c r="E48" s="456"/>
      <c r="F48" s="456"/>
      <c r="G48" s="456"/>
      <c r="H48" s="456"/>
      <c r="I48" s="456"/>
    </row>
    <row r="49" spans="1:11">
      <c r="A49">
        <v>2</v>
      </c>
      <c r="B49" s="456" t="s">
        <v>280</v>
      </c>
      <c r="C49" s="456"/>
      <c r="D49" s="456"/>
      <c r="E49" s="456"/>
      <c r="F49" s="456"/>
      <c r="G49" s="456"/>
      <c r="H49" s="456"/>
      <c r="I49" s="456"/>
    </row>
    <row r="50" spans="1:11">
      <c r="A50">
        <v>3</v>
      </c>
      <c r="B50" s="456" t="s">
        <v>282</v>
      </c>
      <c r="C50" s="456"/>
      <c r="D50" s="456"/>
      <c r="E50" s="456"/>
      <c r="F50" s="456"/>
      <c r="G50" s="456"/>
      <c r="H50" s="456"/>
      <c r="I50" s="456"/>
    </row>
    <row r="51" spans="1:11">
      <c r="A51">
        <v>4</v>
      </c>
      <c r="B51" s="456" t="s">
        <v>281</v>
      </c>
      <c r="C51" s="456"/>
      <c r="D51" s="456"/>
      <c r="E51" s="456"/>
      <c r="F51" s="456"/>
      <c r="G51" s="456"/>
      <c r="H51" s="456"/>
      <c r="I51" s="456"/>
    </row>
    <row r="52" spans="1:11">
      <c r="B52" s="456"/>
      <c r="C52" s="456"/>
      <c r="D52" s="456"/>
      <c r="E52" s="456"/>
      <c r="F52" s="456"/>
      <c r="G52" s="456"/>
      <c r="H52" s="456"/>
      <c r="I52" s="456"/>
    </row>
    <row r="53" spans="1:11">
      <c r="A53" s="300"/>
      <c r="B53" s="300"/>
      <c r="C53" s="456" t="s">
        <v>294</v>
      </c>
      <c r="D53" s="456"/>
      <c r="E53" s="456" t="s">
        <v>295</v>
      </c>
      <c r="F53" s="456"/>
      <c r="G53" s="456" t="s">
        <v>296</v>
      </c>
      <c r="H53" s="456"/>
      <c r="I53" s="456"/>
    </row>
    <row r="54" spans="1:11" ht="36" customHeight="1">
      <c r="A54" s="300" t="s">
        <v>290</v>
      </c>
      <c r="B54" s="300"/>
      <c r="C54" s="456" t="s">
        <v>289</v>
      </c>
      <c r="D54" s="456"/>
      <c r="E54" s="456"/>
      <c r="F54" s="456"/>
      <c r="G54" s="457" t="s">
        <v>299</v>
      </c>
      <c r="H54" s="457"/>
      <c r="I54" s="457"/>
    </row>
    <row r="55" spans="1:11" ht="34.049999999999997" customHeight="1">
      <c r="A55" s="300" t="s">
        <v>291</v>
      </c>
      <c r="B55" s="300"/>
      <c r="C55" s="456"/>
      <c r="D55" s="456"/>
      <c r="E55" s="456" t="s">
        <v>298</v>
      </c>
      <c r="F55" s="456"/>
      <c r="G55" s="458" t="s">
        <v>300</v>
      </c>
      <c r="H55" s="459"/>
      <c r="I55" s="459"/>
    </row>
    <row r="56" spans="1:11" ht="34.049999999999997" customHeight="1">
      <c r="A56" s="300" t="s">
        <v>292</v>
      </c>
      <c r="B56" s="300"/>
      <c r="C56" s="456" t="s">
        <v>289</v>
      </c>
      <c r="D56" s="456"/>
      <c r="E56" s="456" t="s">
        <v>298</v>
      </c>
      <c r="F56" s="456"/>
      <c r="G56" s="458" t="s">
        <v>299</v>
      </c>
      <c r="H56" s="459"/>
      <c r="I56" s="459"/>
    </row>
    <row r="57" spans="1:11">
      <c r="A57" s="300" t="s">
        <v>293</v>
      </c>
      <c r="B57" s="300"/>
      <c r="C57" s="456"/>
      <c r="D57" s="456"/>
      <c r="E57" s="456"/>
      <c r="F57" s="456"/>
      <c r="G57" s="456" t="s">
        <v>289</v>
      </c>
      <c r="H57" s="456"/>
      <c r="I57" s="456"/>
      <c r="K57" t="s">
        <v>297</v>
      </c>
    </row>
    <row r="58" spans="1:11">
      <c r="B58" s="30"/>
      <c r="C58" s="456"/>
      <c r="D58" s="456"/>
      <c r="E58" s="456"/>
      <c r="F58" s="456"/>
      <c r="G58" s="456"/>
      <c r="H58" s="456"/>
      <c r="I58" s="456"/>
    </row>
    <row r="59" spans="1:11">
      <c r="B59" s="456"/>
      <c r="C59" s="456"/>
      <c r="D59" s="456"/>
      <c r="E59" s="456"/>
      <c r="F59" s="456"/>
      <c r="G59" s="456"/>
      <c r="H59" s="456"/>
      <c r="I59" s="456"/>
    </row>
    <row r="60" spans="1:11">
      <c r="B60" s="456"/>
      <c r="C60" s="456"/>
      <c r="D60" s="456"/>
      <c r="E60" s="456"/>
      <c r="F60" s="456"/>
      <c r="G60" s="456"/>
      <c r="H60" s="456"/>
      <c r="I60" s="456"/>
    </row>
  </sheetData>
  <mergeCells count="47">
    <mergeCell ref="B38:I38"/>
    <mergeCell ref="B34:I34"/>
    <mergeCell ref="A2:I3"/>
    <mergeCell ref="B33:I33"/>
    <mergeCell ref="B35:I35"/>
    <mergeCell ref="B36:I36"/>
    <mergeCell ref="B37:I37"/>
    <mergeCell ref="B50:I50"/>
    <mergeCell ref="B39:I39"/>
    <mergeCell ref="B40:I40"/>
    <mergeCell ref="B41:I41"/>
    <mergeCell ref="B42:I42"/>
    <mergeCell ref="B43:I43"/>
    <mergeCell ref="B44:I44"/>
    <mergeCell ref="B45:I45"/>
    <mergeCell ref="B46:I46"/>
    <mergeCell ref="B47:I47"/>
    <mergeCell ref="B48:I48"/>
    <mergeCell ref="B49:I49"/>
    <mergeCell ref="B52:I52"/>
    <mergeCell ref="C56:D56"/>
    <mergeCell ref="E56:F56"/>
    <mergeCell ref="G56:I56"/>
    <mergeCell ref="C57:D57"/>
    <mergeCell ref="E57:F57"/>
    <mergeCell ref="G57:I57"/>
    <mergeCell ref="B60:I60"/>
    <mergeCell ref="K2:K3"/>
    <mergeCell ref="A54:B54"/>
    <mergeCell ref="A55:B55"/>
    <mergeCell ref="A56:B56"/>
    <mergeCell ref="A57:B57"/>
    <mergeCell ref="C53:D53"/>
    <mergeCell ref="E53:F53"/>
    <mergeCell ref="G53:I53"/>
    <mergeCell ref="C54:D54"/>
    <mergeCell ref="E54:F54"/>
    <mergeCell ref="G54:I54"/>
    <mergeCell ref="C55:D55"/>
    <mergeCell ref="E55:F55"/>
    <mergeCell ref="G55:I55"/>
    <mergeCell ref="B51:I51"/>
    <mergeCell ref="C58:D58"/>
    <mergeCell ref="E58:F58"/>
    <mergeCell ref="G58:I58"/>
    <mergeCell ref="A53:B53"/>
    <mergeCell ref="B59:I59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8"/>
  <sheetViews>
    <sheetView workbookViewId="0">
      <selection activeCell="Q21" sqref="Q21"/>
    </sheetView>
  </sheetViews>
  <sheetFormatPr defaultColWidth="12.69921875" defaultRowHeight="14.4"/>
  <cols>
    <col min="1" max="1" width="12.796875"/>
    <col min="2" max="9" width="8.19921875" customWidth="1"/>
  </cols>
  <sheetData>
    <row r="1" spans="2:16" ht="15" thickBot="1"/>
    <row r="2" spans="2:16" ht="15" thickTop="1">
      <c r="B2" s="472" t="s">
        <v>320</v>
      </c>
      <c r="C2" s="472" t="s">
        <v>321</v>
      </c>
      <c r="D2" s="470" t="s">
        <v>328</v>
      </c>
      <c r="E2" s="470" t="s">
        <v>322</v>
      </c>
      <c r="F2" s="470" t="s">
        <v>323</v>
      </c>
      <c r="G2" s="470" t="s">
        <v>324</v>
      </c>
      <c r="H2" s="470" t="s">
        <v>325</v>
      </c>
      <c r="I2" s="470" t="s">
        <v>326</v>
      </c>
      <c r="J2" s="472" t="s">
        <v>327</v>
      </c>
      <c r="L2" s="45" t="s">
        <v>340</v>
      </c>
      <c r="M2" s="45" t="s">
        <v>341</v>
      </c>
      <c r="N2" t="s">
        <v>342</v>
      </c>
      <c r="O2" t="s">
        <v>341</v>
      </c>
      <c r="P2" t="s">
        <v>342</v>
      </c>
    </row>
    <row r="3" spans="2:16" ht="15" thickBot="1">
      <c r="B3" s="473"/>
      <c r="C3" s="473"/>
      <c r="D3" s="471"/>
      <c r="E3" s="471"/>
      <c r="F3" s="471"/>
      <c r="G3" s="471"/>
      <c r="H3" s="471"/>
      <c r="I3" s="471"/>
      <c r="J3" s="473"/>
      <c r="L3" s="45"/>
      <c r="M3" s="45"/>
    </row>
    <row r="4" spans="2:16" ht="15" thickTop="1">
      <c r="B4" s="498">
        <v>0</v>
      </c>
      <c r="C4" s="498">
        <v>0</v>
      </c>
      <c r="D4" s="498">
        <v>1</v>
      </c>
      <c r="E4" s="498">
        <v>1</v>
      </c>
      <c r="F4" s="501">
        <v>0</v>
      </c>
      <c r="G4" s="498" t="s">
        <v>306</v>
      </c>
      <c r="H4" s="498">
        <v>1</v>
      </c>
      <c r="I4" s="498">
        <v>1</v>
      </c>
      <c r="J4" s="499" t="s">
        <v>307</v>
      </c>
      <c r="L4" s="456" t="s">
        <v>331</v>
      </c>
      <c r="M4" s="45"/>
    </row>
    <row r="5" spans="2:16">
      <c r="B5" s="495"/>
      <c r="C5" s="495"/>
      <c r="D5" s="495"/>
      <c r="E5" s="495"/>
      <c r="F5" s="502"/>
      <c r="G5" s="495"/>
      <c r="H5" s="495"/>
      <c r="I5" s="495"/>
      <c r="J5" s="500"/>
      <c r="L5" s="456"/>
      <c r="M5" s="45"/>
    </row>
    <row r="6" spans="2:16">
      <c r="B6" s="494">
        <v>0</v>
      </c>
      <c r="C6" s="494">
        <v>0</v>
      </c>
      <c r="D6" s="494">
        <v>1</v>
      </c>
      <c r="E6" s="494">
        <v>1</v>
      </c>
      <c r="F6" s="494">
        <v>0</v>
      </c>
      <c r="G6" s="494" t="s">
        <v>306</v>
      </c>
      <c r="H6" s="494">
        <v>0</v>
      </c>
      <c r="I6" s="494" t="s">
        <v>306</v>
      </c>
      <c r="J6" s="503" t="s">
        <v>308</v>
      </c>
      <c r="L6" s="45"/>
      <c r="M6" s="45"/>
    </row>
    <row r="7" spans="2:16">
      <c r="B7" s="495"/>
      <c r="C7" s="495"/>
      <c r="D7" s="495"/>
      <c r="E7" s="495"/>
      <c r="F7" s="495"/>
      <c r="G7" s="495"/>
      <c r="H7" s="495"/>
      <c r="I7" s="495"/>
      <c r="J7" s="504"/>
      <c r="L7" s="45"/>
      <c r="M7" s="45"/>
    </row>
    <row r="8" spans="2:16">
      <c r="B8" s="477">
        <v>0</v>
      </c>
      <c r="C8" s="477">
        <v>0</v>
      </c>
      <c r="D8" s="477">
        <v>1</v>
      </c>
      <c r="E8" s="477">
        <v>1</v>
      </c>
      <c r="F8" s="477">
        <v>0</v>
      </c>
      <c r="G8" s="477" t="s">
        <v>306</v>
      </c>
      <c r="H8" s="477" t="s">
        <v>306</v>
      </c>
      <c r="I8" s="477">
        <v>0</v>
      </c>
      <c r="J8" s="479" t="s">
        <v>309</v>
      </c>
      <c r="L8" s="45"/>
      <c r="M8" s="45"/>
    </row>
    <row r="9" spans="2:16">
      <c r="B9" s="478"/>
      <c r="C9" s="478"/>
      <c r="D9" s="478"/>
      <c r="E9" s="478"/>
      <c r="F9" s="478"/>
      <c r="G9" s="478"/>
      <c r="H9" s="478"/>
      <c r="I9" s="478"/>
      <c r="J9" s="480"/>
      <c r="L9" s="45"/>
      <c r="M9" s="45"/>
    </row>
    <row r="10" spans="2:16">
      <c r="B10" s="488">
        <v>0</v>
      </c>
      <c r="C10" s="488">
        <v>0</v>
      </c>
      <c r="D10" s="488">
        <v>1</v>
      </c>
      <c r="E10" s="488">
        <v>1</v>
      </c>
      <c r="F10" s="468" t="s">
        <v>310</v>
      </c>
      <c r="G10" s="496">
        <v>0</v>
      </c>
      <c r="H10" s="488">
        <v>1</v>
      </c>
      <c r="I10" s="488">
        <v>1</v>
      </c>
      <c r="J10" s="486" t="s">
        <v>311</v>
      </c>
      <c r="L10" s="456" t="s">
        <v>332</v>
      </c>
      <c r="M10" s="45" t="s">
        <v>337</v>
      </c>
      <c r="N10" t="s">
        <v>331</v>
      </c>
    </row>
    <row r="11" spans="2:16">
      <c r="B11" s="478"/>
      <c r="C11" s="478"/>
      <c r="D11" s="478"/>
      <c r="E11" s="478"/>
      <c r="F11" s="469"/>
      <c r="G11" s="497"/>
      <c r="H11" s="478"/>
      <c r="I11" s="478"/>
      <c r="J11" s="487"/>
      <c r="L11" s="456"/>
      <c r="M11" s="45" t="s">
        <v>336</v>
      </c>
      <c r="N11" t="s">
        <v>338</v>
      </c>
      <c r="O11" t="s">
        <v>339</v>
      </c>
      <c r="P11" t="s">
        <v>331</v>
      </c>
    </row>
    <row r="12" spans="2:16">
      <c r="B12" s="488" t="s">
        <v>310</v>
      </c>
      <c r="C12" s="488" t="s">
        <v>310</v>
      </c>
      <c r="D12" s="468" t="s">
        <v>310</v>
      </c>
      <c r="E12" s="468" t="s">
        <v>310</v>
      </c>
      <c r="F12" s="468" t="s">
        <v>310</v>
      </c>
      <c r="G12" s="468" t="s">
        <v>310</v>
      </c>
      <c r="H12" s="488">
        <v>0</v>
      </c>
      <c r="I12" s="475" t="s">
        <v>310</v>
      </c>
      <c r="J12" s="486" t="s">
        <v>312</v>
      </c>
      <c r="L12" s="474" t="s">
        <v>333</v>
      </c>
      <c r="M12" s="45" t="s">
        <v>334</v>
      </c>
      <c r="N12" t="s">
        <v>331</v>
      </c>
    </row>
    <row r="13" spans="2:16">
      <c r="B13" s="478"/>
      <c r="C13" s="478"/>
      <c r="D13" s="469"/>
      <c r="E13" s="469"/>
      <c r="F13" s="469"/>
      <c r="G13" s="469"/>
      <c r="H13" s="478"/>
      <c r="I13" s="476"/>
      <c r="J13" s="487"/>
      <c r="L13" s="474"/>
      <c r="M13" s="45"/>
    </row>
    <row r="14" spans="2:16">
      <c r="B14" s="488" t="s">
        <v>310</v>
      </c>
      <c r="C14" s="488" t="s">
        <v>310</v>
      </c>
      <c r="D14" s="475" t="s">
        <v>310</v>
      </c>
      <c r="E14" s="475" t="s">
        <v>310</v>
      </c>
      <c r="F14" s="475" t="s">
        <v>310</v>
      </c>
      <c r="G14" s="475" t="s">
        <v>310</v>
      </c>
      <c r="H14" s="488">
        <v>0</v>
      </c>
      <c r="I14" s="488">
        <v>0</v>
      </c>
      <c r="J14" s="481" t="s">
        <v>313</v>
      </c>
      <c r="L14" s="45"/>
      <c r="M14" s="45"/>
    </row>
    <row r="15" spans="2:16">
      <c r="B15" s="478"/>
      <c r="C15" s="478"/>
      <c r="D15" s="476"/>
      <c r="E15" s="476"/>
      <c r="F15" s="476"/>
      <c r="G15" s="476"/>
      <c r="H15" s="478"/>
      <c r="I15" s="478"/>
      <c r="J15" s="480"/>
      <c r="L15" s="45"/>
      <c r="M15" s="45"/>
    </row>
    <row r="16" spans="2:16">
      <c r="B16" s="488" t="s">
        <v>310</v>
      </c>
      <c r="C16" s="488" t="s">
        <v>310</v>
      </c>
      <c r="D16" s="475" t="s">
        <v>310</v>
      </c>
      <c r="E16" s="496">
        <v>0</v>
      </c>
      <c r="F16" s="468" t="s">
        <v>310</v>
      </c>
      <c r="G16" s="468" t="s">
        <v>310</v>
      </c>
      <c r="H16" s="475" t="s">
        <v>310</v>
      </c>
      <c r="I16" s="475" t="s">
        <v>310</v>
      </c>
      <c r="J16" s="489" t="s">
        <v>317</v>
      </c>
      <c r="L16" s="474" t="s">
        <v>332</v>
      </c>
      <c r="M16" s="45" t="s">
        <v>337</v>
      </c>
      <c r="N16" t="s">
        <v>331</v>
      </c>
    </row>
    <row r="17" spans="2:16">
      <c r="B17" s="478"/>
      <c r="C17" s="478"/>
      <c r="D17" s="476"/>
      <c r="E17" s="497"/>
      <c r="F17" s="469"/>
      <c r="G17" s="469"/>
      <c r="H17" s="476"/>
      <c r="I17" s="476"/>
      <c r="J17" s="490"/>
      <c r="L17" s="474"/>
      <c r="M17" s="45" t="s">
        <v>336</v>
      </c>
      <c r="N17" t="s">
        <v>338</v>
      </c>
      <c r="O17" t="s">
        <v>339</v>
      </c>
      <c r="P17" t="s">
        <v>331</v>
      </c>
    </row>
    <row r="18" spans="2:16">
      <c r="B18" s="488" t="s">
        <v>310</v>
      </c>
      <c r="C18" s="488" t="s">
        <v>310</v>
      </c>
      <c r="D18" s="475" t="s">
        <v>310</v>
      </c>
      <c r="E18" s="475" t="s">
        <v>310</v>
      </c>
      <c r="F18" s="475" t="s">
        <v>310</v>
      </c>
      <c r="G18" s="475" t="s">
        <v>310</v>
      </c>
      <c r="H18" s="488">
        <v>1</v>
      </c>
      <c r="I18" s="488">
        <v>0</v>
      </c>
      <c r="J18" s="481" t="s">
        <v>314</v>
      </c>
      <c r="L18" s="45"/>
      <c r="M18" s="45"/>
    </row>
    <row r="19" spans="2:16">
      <c r="B19" s="477"/>
      <c r="C19" s="477"/>
      <c r="D19" s="491"/>
      <c r="E19" s="491"/>
      <c r="F19" s="491"/>
      <c r="G19" s="491"/>
      <c r="H19" s="477"/>
      <c r="I19" s="477"/>
      <c r="J19" s="479"/>
      <c r="L19" s="45"/>
      <c r="M19" s="45"/>
    </row>
    <row r="20" spans="2:16">
      <c r="B20" s="488">
        <v>1</v>
      </c>
      <c r="C20" s="488" t="s">
        <v>310</v>
      </c>
      <c r="D20" s="468" t="s">
        <v>310</v>
      </c>
      <c r="E20" s="468" t="s">
        <v>310</v>
      </c>
      <c r="F20" s="468" t="s">
        <v>310</v>
      </c>
      <c r="G20" s="468" t="s">
        <v>310</v>
      </c>
      <c r="H20" s="475" t="s">
        <v>310</v>
      </c>
      <c r="I20" s="475" t="s">
        <v>310</v>
      </c>
      <c r="J20" s="486" t="s">
        <v>318</v>
      </c>
      <c r="L20" s="456" t="s">
        <v>335</v>
      </c>
      <c r="M20" s="45" t="s">
        <v>334</v>
      </c>
      <c r="N20" t="s">
        <v>331</v>
      </c>
    </row>
    <row r="21" spans="2:16">
      <c r="B21" s="478"/>
      <c r="C21" s="478"/>
      <c r="D21" s="469"/>
      <c r="E21" s="469"/>
      <c r="F21" s="469"/>
      <c r="G21" s="469"/>
      <c r="H21" s="476"/>
      <c r="I21" s="476"/>
      <c r="J21" s="487"/>
      <c r="L21" s="456"/>
      <c r="M21" s="45"/>
    </row>
    <row r="22" spans="2:16">
      <c r="B22" s="488" t="s">
        <v>310</v>
      </c>
      <c r="C22" s="488">
        <v>1</v>
      </c>
      <c r="D22" s="468" t="s">
        <v>310</v>
      </c>
      <c r="E22" s="468" t="s">
        <v>310</v>
      </c>
      <c r="F22" s="468" t="s">
        <v>310</v>
      </c>
      <c r="G22" s="468" t="s">
        <v>310</v>
      </c>
      <c r="H22" s="475" t="s">
        <v>310</v>
      </c>
      <c r="I22" s="475" t="s">
        <v>310</v>
      </c>
      <c r="J22" s="486" t="s">
        <v>319</v>
      </c>
      <c r="L22" s="456"/>
      <c r="M22" s="45"/>
    </row>
    <row r="23" spans="2:16">
      <c r="B23" s="478"/>
      <c r="C23" s="478"/>
      <c r="D23" s="469"/>
      <c r="E23" s="469"/>
      <c r="F23" s="469"/>
      <c r="G23" s="469"/>
      <c r="H23" s="476"/>
      <c r="I23" s="476"/>
      <c r="J23" s="487"/>
      <c r="L23" s="456"/>
      <c r="M23" s="45"/>
    </row>
    <row r="24" spans="2:16">
      <c r="B24" s="492" t="s">
        <v>310</v>
      </c>
      <c r="C24" s="494" t="s">
        <v>310</v>
      </c>
      <c r="D24" s="494">
        <v>0</v>
      </c>
      <c r="E24" s="482" t="s">
        <v>310</v>
      </c>
      <c r="F24" s="482" t="s">
        <v>310</v>
      </c>
      <c r="G24" s="482" t="s">
        <v>310</v>
      </c>
      <c r="H24" s="482" t="s">
        <v>310</v>
      </c>
      <c r="I24" s="482" t="s">
        <v>310</v>
      </c>
      <c r="J24" s="484" t="s">
        <v>315</v>
      </c>
      <c r="L24" s="456" t="s">
        <v>332</v>
      </c>
      <c r="M24" s="45" t="s">
        <v>337</v>
      </c>
      <c r="N24" t="s">
        <v>331</v>
      </c>
    </row>
    <row r="25" spans="2:16">
      <c r="B25" s="493"/>
      <c r="C25" s="495"/>
      <c r="D25" s="495"/>
      <c r="E25" s="483"/>
      <c r="F25" s="483"/>
      <c r="G25" s="483"/>
      <c r="H25" s="483"/>
      <c r="I25" s="483"/>
      <c r="J25" s="485"/>
      <c r="L25" s="456"/>
      <c r="M25" s="45" t="s">
        <v>336</v>
      </c>
      <c r="N25" t="s">
        <v>338</v>
      </c>
      <c r="O25" t="s">
        <v>339</v>
      </c>
      <c r="P25" t="s">
        <v>331</v>
      </c>
    </row>
    <row r="26" spans="2:16">
      <c r="B26" s="477" t="s">
        <v>310</v>
      </c>
      <c r="C26" s="477" t="s">
        <v>310</v>
      </c>
      <c r="D26" s="477">
        <v>0</v>
      </c>
      <c r="E26" s="491" t="s">
        <v>310</v>
      </c>
      <c r="F26" s="491" t="s">
        <v>310</v>
      </c>
      <c r="G26" s="491" t="s">
        <v>310</v>
      </c>
      <c r="H26" s="477">
        <v>1</v>
      </c>
      <c r="I26" s="477">
        <v>0</v>
      </c>
      <c r="J26" s="479" t="s">
        <v>316</v>
      </c>
      <c r="L26" s="456" t="s">
        <v>331</v>
      </c>
      <c r="M26" s="45"/>
    </row>
    <row r="27" spans="2:16">
      <c r="B27" s="478"/>
      <c r="C27" s="478"/>
      <c r="D27" s="478"/>
      <c r="E27" s="476"/>
      <c r="F27" s="476"/>
      <c r="G27" s="476"/>
      <c r="H27" s="478"/>
      <c r="I27" s="478"/>
      <c r="J27" s="480"/>
      <c r="L27" s="456"/>
      <c r="M27" s="45"/>
    </row>
    <row r="29" spans="2:16" ht="16.2">
      <c r="B29" s="50" t="s">
        <v>329</v>
      </c>
      <c r="C29" s="300" t="s">
        <v>330</v>
      </c>
      <c r="D29" s="300"/>
      <c r="E29" s="300"/>
      <c r="F29" s="300"/>
    </row>
    <row r="32" spans="2:16">
      <c r="N32" s="30"/>
    </row>
    <row r="33" spans="2:15">
      <c r="L33" t="s">
        <v>344</v>
      </c>
      <c r="M33" s="30" t="s">
        <v>295</v>
      </c>
      <c r="N33" s="300" t="s">
        <v>358</v>
      </c>
      <c r="O33" s="300"/>
    </row>
    <row r="34" spans="2:15">
      <c r="L34" t="s">
        <v>343</v>
      </c>
      <c r="M34" t="s">
        <v>44</v>
      </c>
      <c r="N34" s="300" t="s">
        <v>359</v>
      </c>
      <c r="O34" s="300"/>
    </row>
    <row r="35" spans="2:15">
      <c r="L35" s="456" t="s">
        <v>104</v>
      </c>
      <c r="M35" t="s">
        <v>348</v>
      </c>
      <c r="N35" s="456" t="s">
        <v>360</v>
      </c>
      <c r="O35" s="456"/>
    </row>
    <row r="36" spans="2:15">
      <c r="L36" s="456"/>
      <c r="M36" t="s">
        <v>347</v>
      </c>
      <c r="N36" s="456"/>
      <c r="O36" s="456"/>
    </row>
    <row r="37" spans="2:15">
      <c r="L37" t="s">
        <v>345</v>
      </c>
      <c r="M37" t="s">
        <v>85</v>
      </c>
    </row>
    <row r="38" spans="2:15">
      <c r="L38" t="s">
        <v>346</v>
      </c>
      <c r="M38" t="s">
        <v>349</v>
      </c>
    </row>
    <row r="41" spans="2:15">
      <c r="B41" t="s">
        <v>92</v>
      </c>
      <c r="D41" t="s">
        <v>86</v>
      </c>
      <c r="H41" t="s">
        <v>105</v>
      </c>
    </row>
    <row r="42" spans="2:15">
      <c r="B42" t="s">
        <v>93</v>
      </c>
      <c r="D42" t="s">
        <v>88</v>
      </c>
      <c r="F42" t="s">
        <v>96</v>
      </c>
      <c r="J42" t="s">
        <v>95</v>
      </c>
    </row>
    <row r="43" spans="2:15">
      <c r="D43" t="s">
        <v>89</v>
      </c>
      <c r="F43" t="s">
        <v>106</v>
      </c>
      <c r="H43" t="s">
        <v>103</v>
      </c>
      <c r="J43" t="s">
        <v>97</v>
      </c>
    </row>
    <row r="44" spans="2:15">
      <c r="D44" t="s">
        <v>90</v>
      </c>
      <c r="F44" t="s">
        <v>106</v>
      </c>
      <c r="H44" t="s">
        <v>104</v>
      </c>
      <c r="J44" t="s">
        <v>98</v>
      </c>
    </row>
    <row r="45" spans="2:15">
      <c r="D45" t="s">
        <v>91</v>
      </c>
      <c r="F45" t="s">
        <v>106</v>
      </c>
      <c r="H45" t="s">
        <v>107</v>
      </c>
      <c r="J45" t="s">
        <v>98</v>
      </c>
      <c r="K45" t="s">
        <v>108</v>
      </c>
    </row>
    <row r="46" spans="2:15">
      <c r="D46" t="s">
        <v>101</v>
      </c>
      <c r="F46" t="s">
        <v>106</v>
      </c>
      <c r="H46" t="s">
        <v>104</v>
      </c>
      <c r="J46" t="s">
        <v>98</v>
      </c>
    </row>
    <row r="47" spans="2:15">
      <c r="D47" t="s">
        <v>87</v>
      </c>
      <c r="F47" t="s">
        <v>106</v>
      </c>
      <c r="H47" t="s">
        <v>103</v>
      </c>
      <c r="J47" t="s">
        <v>97</v>
      </c>
    </row>
    <row r="48" spans="2:15">
      <c r="B48" t="s">
        <v>94</v>
      </c>
      <c r="D48" t="s">
        <v>88</v>
      </c>
      <c r="F48" t="s">
        <v>96</v>
      </c>
      <c r="J48" t="s">
        <v>95</v>
      </c>
    </row>
    <row r="49" spans="1:19">
      <c r="D49" t="s">
        <v>89</v>
      </c>
      <c r="F49" t="s">
        <v>106</v>
      </c>
      <c r="H49" t="s">
        <v>103</v>
      </c>
      <c r="J49" t="s">
        <v>97</v>
      </c>
    </row>
    <row r="50" spans="1:19">
      <c r="D50" t="s">
        <v>90</v>
      </c>
      <c r="F50" t="s">
        <v>106</v>
      </c>
      <c r="H50" t="s">
        <v>104</v>
      </c>
      <c r="J50" t="s">
        <v>97</v>
      </c>
    </row>
    <row r="51" spans="1:19">
      <c r="D51" t="s">
        <v>87</v>
      </c>
      <c r="F51" t="s">
        <v>96</v>
      </c>
      <c r="J51" t="s">
        <v>95</v>
      </c>
    </row>
    <row r="52" spans="1:19">
      <c r="D52" t="s">
        <v>99</v>
      </c>
      <c r="F52" t="s">
        <v>102</v>
      </c>
      <c r="H52" t="s">
        <v>104</v>
      </c>
      <c r="J52" t="s">
        <v>97</v>
      </c>
    </row>
    <row r="53" spans="1:19">
      <c r="D53" t="s">
        <v>100</v>
      </c>
      <c r="F53" t="s">
        <v>96</v>
      </c>
      <c r="J53" t="s">
        <v>95</v>
      </c>
    </row>
    <row r="56" spans="1:19" ht="15" thickBot="1">
      <c r="B56" t="s">
        <v>352</v>
      </c>
      <c r="C56" s="44"/>
      <c r="D56" s="44"/>
      <c r="E56" s="44"/>
      <c r="I56" s="44"/>
      <c r="J56" s="44"/>
      <c r="K56" s="44"/>
      <c r="L56" s="44"/>
      <c r="M56" s="44"/>
      <c r="N56" s="44"/>
      <c r="R56" s="44"/>
      <c r="S56" s="44"/>
    </row>
    <row r="57" spans="1:19" ht="15.6" thickTop="1" thickBot="1">
      <c r="A57" t="s">
        <v>355</v>
      </c>
      <c r="C57" s="461" t="s">
        <v>85</v>
      </c>
      <c r="D57" s="461"/>
      <c r="E57" s="462"/>
      <c r="F57" s="463" t="s">
        <v>350</v>
      </c>
      <c r="G57" s="464"/>
      <c r="H57" s="465"/>
      <c r="I57" s="466" t="s">
        <v>351</v>
      </c>
      <c r="J57" s="461"/>
      <c r="K57" s="461"/>
      <c r="L57" s="461"/>
      <c r="M57" s="461"/>
      <c r="N57" s="462"/>
      <c r="O57" s="463" t="s">
        <v>350</v>
      </c>
      <c r="P57" s="464"/>
      <c r="Q57" s="465"/>
      <c r="R57" s="466" t="s">
        <v>85</v>
      </c>
      <c r="S57" s="461"/>
    </row>
    <row r="58" spans="1:19" ht="15" thickTop="1">
      <c r="B58" t="s">
        <v>353</v>
      </c>
    </row>
    <row r="59" spans="1:19" ht="15" thickBot="1">
      <c r="I59" s="44"/>
      <c r="J59" s="44"/>
      <c r="K59" s="44"/>
      <c r="L59" s="44"/>
      <c r="M59" s="44"/>
      <c r="N59" s="44"/>
      <c r="O59" s="44"/>
      <c r="P59" s="44"/>
      <c r="Q59" s="44"/>
    </row>
    <row r="60" spans="1:19" ht="15.6" thickTop="1" thickBot="1">
      <c r="A60" s="300" t="s">
        <v>354</v>
      </c>
      <c r="B60" s="300"/>
      <c r="C60" s="44"/>
      <c r="D60" s="44"/>
      <c r="E60" s="44"/>
      <c r="F60" s="44"/>
      <c r="G60" s="44"/>
      <c r="H60" s="52"/>
      <c r="I60" s="53"/>
      <c r="J60" s="54"/>
      <c r="K60" s="54"/>
      <c r="L60" s="54"/>
      <c r="M60" s="54"/>
      <c r="N60" s="54"/>
      <c r="O60" s="54"/>
      <c r="P60" s="54"/>
      <c r="Q60" s="55"/>
      <c r="R60" s="51"/>
      <c r="S60" s="44"/>
    </row>
    <row r="61" spans="1:19" ht="15" thickTop="1"/>
    <row r="62" spans="1:19">
      <c r="E62" s="353" t="s">
        <v>357</v>
      </c>
      <c r="F62" s="353"/>
      <c r="Q62" s="353" t="s">
        <v>356</v>
      </c>
      <c r="R62" s="353"/>
    </row>
    <row r="65" spans="2:6">
      <c r="B65" s="30" t="s">
        <v>53</v>
      </c>
      <c r="C65" s="38" t="s">
        <v>49</v>
      </c>
      <c r="D65" s="38" t="s">
        <v>50</v>
      </c>
      <c r="E65" s="38" t="s">
        <v>46</v>
      </c>
      <c r="F65" s="38" t="s">
        <v>45</v>
      </c>
    </row>
    <row r="66" spans="2:6">
      <c r="B66" s="30" t="s">
        <v>54</v>
      </c>
      <c r="C66" s="38" t="s">
        <v>58</v>
      </c>
      <c r="D66" s="39" t="s">
        <v>71</v>
      </c>
      <c r="E66" s="353" t="s">
        <v>70</v>
      </c>
      <c r="F66" s="353"/>
    </row>
    <row r="67" spans="2:6">
      <c r="B67" s="30" t="s">
        <v>55</v>
      </c>
      <c r="C67" s="353" t="s">
        <v>51</v>
      </c>
      <c r="D67" s="353"/>
      <c r="E67" s="353" t="s">
        <v>52</v>
      </c>
      <c r="F67" s="353"/>
    </row>
    <row r="68" spans="2:6">
      <c r="B68" s="30" t="s">
        <v>56</v>
      </c>
      <c r="C68" s="353" t="s">
        <v>47</v>
      </c>
      <c r="D68" s="353"/>
      <c r="E68" s="353" t="s">
        <v>57</v>
      </c>
      <c r="F68" s="353"/>
    </row>
    <row r="69" spans="2:6">
      <c r="B69" s="354" t="s">
        <v>61</v>
      </c>
      <c r="C69" s="467" t="s">
        <v>69</v>
      </c>
      <c r="D69" s="467"/>
      <c r="E69" s="467"/>
      <c r="F69" s="467"/>
    </row>
    <row r="70" spans="2:6">
      <c r="B70" s="354"/>
      <c r="C70" s="354" t="s">
        <v>50</v>
      </c>
      <c r="D70" s="354"/>
      <c r="E70" s="354"/>
      <c r="F70" s="354"/>
    </row>
    <row r="71" spans="2:6">
      <c r="B71" s="354" t="s">
        <v>42</v>
      </c>
      <c r="C71" s="467" t="s">
        <v>74</v>
      </c>
      <c r="D71" s="467"/>
      <c r="E71" s="467" t="s">
        <v>69</v>
      </c>
      <c r="F71" s="467"/>
    </row>
    <row r="72" spans="2:6">
      <c r="B72" s="354"/>
      <c r="C72" s="354" t="s">
        <v>45</v>
      </c>
      <c r="D72" s="354"/>
      <c r="E72" s="353" t="s">
        <v>50</v>
      </c>
      <c r="F72" s="353"/>
    </row>
    <row r="73" spans="2:6">
      <c r="B73" s="354" t="s">
        <v>43</v>
      </c>
      <c r="C73" s="467" t="s">
        <v>78</v>
      </c>
      <c r="D73" s="354"/>
      <c r="E73" s="354"/>
      <c r="F73" s="354"/>
    </row>
    <row r="74" spans="2:6">
      <c r="B74" s="354"/>
      <c r="C74" s="353" t="s">
        <v>72</v>
      </c>
      <c r="D74" s="353"/>
      <c r="E74" s="353"/>
      <c r="F74" s="353"/>
    </row>
    <row r="75" spans="2:6" ht="28.8">
      <c r="B75" s="354" t="s">
        <v>81</v>
      </c>
      <c r="C75" s="354" t="s">
        <v>48</v>
      </c>
      <c r="D75" s="40" t="s">
        <v>77</v>
      </c>
      <c r="E75" s="38" t="s">
        <v>48</v>
      </c>
      <c r="F75" s="42" t="s">
        <v>44</v>
      </c>
    </row>
    <row r="76" spans="2:6">
      <c r="B76" s="354"/>
      <c r="C76" s="354"/>
      <c r="D76" s="38" t="s">
        <v>59</v>
      </c>
      <c r="E76" s="38" t="s">
        <v>45</v>
      </c>
      <c r="F76" s="38" t="s">
        <v>48</v>
      </c>
    </row>
    <row r="77" spans="2:6">
      <c r="B77" s="354" t="s">
        <v>79</v>
      </c>
      <c r="C77" s="354" t="s">
        <v>48</v>
      </c>
      <c r="D77" s="354" t="s">
        <v>60</v>
      </c>
      <c r="E77" s="38" t="s">
        <v>73</v>
      </c>
      <c r="F77" s="467" t="s">
        <v>83</v>
      </c>
    </row>
    <row r="78" spans="2:6">
      <c r="B78" s="354"/>
      <c r="C78" s="354"/>
      <c r="D78" s="354"/>
      <c r="E78" s="38" t="s">
        <v>59</v>
      </c>
      <c r="F78" s="467"/>
    </row>
    <row r="79" spans="2:6" ht="57.6">
      <c r="B79" s="354" t="s">
        <v>82</v>
      </c>
      <c r="C79" s="354" t="s">
        <v>48</v>
      </c>
      <c r="D79" s="354" t="s">
        <v>48</v>
      </c>
      <c r="E79" s="354" t="s">
        <v>84</v>
      </c>
      <c r="F79" s="42" t="s">
        <v>80</v>
      </c>
    </row>
    <row r="80" spans="2:6">
      <c r="B80" s="354"/>
      <c r="C80" s="354"/>
      <c r="D80" s="354"/>
      <c r="E80" s="354"/>
      <c r="F80" s="38" t="s">
        <v>46</v>
      </c>
    </row>
    <row r="82" spans="2:6">
      <c r="B82" t="s">
        <v>62</v>
      </c>
    </row>
    <row r="83" spans="2:6">
      <c r="B83" t="s">
        <v>66</v>
      </c>
      <c r="C83" s="41">
        <v>100000</v>
      </c>
    </row>
    <row r="84" spans="2:6">
      <c r="B84" t="s">
        <v>63</v>
      </c>
      <c r="C84">
        <v>256</v>
      </c>
    </row>
    <row r="85" spans="2:6">
      <c r="B85" t="s">
        <v>64</v>
      </c>
      <c r="C85">
        <v>1</v>
      </c>
      <c r="D85" s="353" t="s">
        <v>75</v>
      </c>
      <c r="E85" s="353"/>
      <c r="F85" s="353"/>
    </row>
    <row r="86" spans="2:6">
      <c r="B86" t="s">
        <v>65</v>
      </c>
      <c r="C86">
        <v>1</v>
      </c>
      <c r="D86" s="353" t="s">
        <v>76</v>
      </c>
      <c r="E86" s="353"/>
      <c r="F86" s="353"/>
    </row>
    <row r="87" spans="2:6">
      <c r="B87" t="s">
        <v>67</v>
      </c>
      <c r="C87">
        <f>C83*C84/C85*C86/3600</f>
        <v>7111.1111111111113</v>
      </c>
    </row>
    <row r="88" spans="2:6">
      <c r="B88" t="s">
        <v>68</v>
      </c>
      <c r="C88">
        <f>C87/24</f>
        <v>296.2962962962963</v>
      </c>
    </row>
  </sheetData>
  <mergeCells count="165">
    <mergeCell ref="H4:H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B4:B5"/>
    <mergeCell ref="C4:C5"/>
    <mergeCell ref="D4:D5"/>
    <mergeCell ref="E4:E5"/>
    <mergeCell ref="F4:F5"/>
    <mergeCell ref="G4:G5"/>
    <mergeCell ref="I6:I7"/>
    <mergeCell ref="J6:J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H12:H13"/>
    <mergeCell ref="I12:I13"/>
    <mergeCell ref="J12:J13"/>
    <mergeCell ref="B14:B15"/>
    <mergeCell ref="C14:C15"/>
    <mergeCell ref="D14:D15"/>
    <mergeCell ref="E14:E15"/>
    <mergeCell ref="F14:F15"/>
    <mergeCell ref="G14:G15"/>
    <mergeCell ref="H14:H15"/>
    <mergeCell ref="B12:B13"/>
    <mergeCell ref="C12:C13"/>
    <mergeCell ref="D12:D13"/>
    <mergeCell ref="E12:E13"/>
    <mergeCell ref="F12:F13"/>
    <mergeCell ref="G12:G13"/>
    <mergeCell ref="J14:J15"/>
    <mergeCell ref="I14:I15"/>
    <mergeCell ref="B18:B19"/>
    <mergeCell ref="C18:C19"/>
    <mergeCell ref="D18:D19"/>
    <mergeCell ref="E18:E19"/>
    <mergeCell ref="F18:F19"/>
    <mergeCell ref="G18:G19"/>
    <mergeCell ref="H18:H19"/>
    <mergeCell ref="I18:I19"/>
    <mergeCell ref="B16:B17"/>
    <mergeCell ref="C16:C17"/>
    <mergeCell ref="D16:D17"/>
    <mergeCell ref="E16:E17"/>
    <mergeCell ref="F16:F17"/>
    <mergeCell ref="G16:G17"/>
    <mergeCell ref="H16:H17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H24:H25"/>
    <mergeCell ref="B2:B3"/>
    <mergeCell ref="C2:C3"/>
    <mergeCell ref="D2:D3"/>
    <mergeCell ref="E2:E3"/>
    <mergeCell ref="F2:F3"/>
    <mergeCell ref="G2:G3"/>
    <mergeCell ref="J20:J21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I16:I17"/>
    <mergeCell ref="J16:J17"/>
    <mergeCell ref="B20:B21"/>
    <mergeCell ref="C20:C21"/>
    <mergeCell ref="D20:D21"/>
    <mergeCell ref="E20:E21"/>
    <mergeCell ref="F20:F21"/>
    <mergeCell ref="G20:G21"/>
    <mergeCell ref="L26:L27"/>
    <mergeCell ref="L35:L36"/>
    <mergeCell ref="E67:F67"/>
    <mergeCell ref="E68:F68"/>
    <mergeCell ref="E66:F66"/>
    <mergeCell ref="H2:H3"/>
    <mergeCell ref="I2:I3"/>
    <mergeCell ref="J2:J3"/>
    <mergeCell ref="C29:F29"/>
    <mergeCell ref="L4:L5"/>
    <mergeCell ref="L10:L11"/>
    <mergeCell ref="L12:L13"/>
    <mergeCell ref="L16:L17"/>
    <mergeCell ref="L20:L23"/>
    <mergeCell ref="L24:L25"/>
    <mergeCell ref="H20:H21"/>
    <mergeCell ref="I20:I21"/>
    <mergeCell ref="H26:H27"/>
    <mergeCell ref="I26:I27"/>
    <mergeCell ref="J26:J27"/>
    <mergeCell ref="J18:J19"/>
    <mergeCell ref="I24:I25"/>
    <mergeCell ref="J24:J25"/>
    <mergeCell ref="R57:S57"/>
    <mergeCell ref="E62:F62"/>
    <mergeCell ref="Q62:R62"/>
    <mergeCell ref="B69:B70"/>
    <mergeCell ref="B71:B72"/>
    <mergeCell ref="B73:B74"/>
    <mergeCell ref="B75:B76"/>
    <mergeCell ref="B77:B78"/>
    <mergeCell ref="D85:F85"/>
    <mergeCell ref="C73:F73"/>
    <mergeCell ref="C74:F74"/>
    <mergeCell ref="C75:C76"/>
    <mergeCell ref="C79:C80"/>
    <mergeCell ref="D79:D80"/>
    <mergeCell ref="B79:B80"/>
    <mergeCell ref="F77:F78"/>
    <mergeCell ref="E79:E80"/>
    <mergeCell ref="C67:D67"/>
    <mergeCell ref="C68:D68"/>
    <mergeCell ref="D77:D78"/>
    <mergeCell ref="C71:D71"/>
    <mergeCell ref="C72:D72"/>
    <mergeCell ref="C69:F69"/>
    <mergeCell ref="E71:F71"/>
    <mergeCell ref="A60:B60"/>
    <mergeCell ref="N33:O33"/>
    <mergeCell ref="N34:O34"/>
    <mergeCell ref="N35:O36"/>
    <mergeCell ref="D86:F86"/>
    <mergeCell ref="C57:E57"/>
    <mergeCell ref="F57:H57"/>
    <mergeCell ref="I57:N57"/>
    <mergeCell ref="O57:Q57"/>
    <mergeCell ref="E72:F72"/>
    <mergeCell ref="C77:C78"/>
    <mergeCell ref="C70:F70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2"/>
  <sheetViews>
    <sheetView topLeftCell="A4" workbookViewId="0">
      <selection activeCell="I14" sqref="I14"/>
    </sheetView>
  </sheetViews>
  <sheetFormatPr defaultColWidth="12.69921875" defaultRowHeight="14.4"/>
  <cols>
    <col min="4" max="4" width="14.69921875" bestFit="1" customWidth="1"/>
  </cols>
  <sheetData>
    <row r="1" spans="1:10">
      <c r="A1" t="s">
        <v>430</v>
      </c>
      <c r="B1">
        <v>8</v>
      </c>
    </row>
    <row r="2" spans="1:10">
      <c r="A2" t="s">
        <v>429</v>
      </c>
      <c r="B2">
        <v>4000000</v>
      </c>
      <c r="F2" t="s">
        <v>830</v>
      </c>
      <c r="G2" t="s">
        <v>829</v>
      </c>
      <c r="H2" t="s">
        <v>831</v>
      </c>
      <c r="I2" t="s">
        <v>829</v>
      </c>
      <c r="J2" t="s">
        <v>829</v>
      </c>
    </row>
    <row r="3" spans="1:10">
      <c r="B3" t="s">
        <v>427</v>
      </c>
      <c r="C3" t="s">
        <v>428</v>
      </c>
      <c r="D3" t="s">
        <v>431</v>
      </c>
      <c r="F3" t="s">
        <v>827</v>
      </c>
      <c r="G3">
        <v>200</v>
      </c>
      <c r="H3" t="s">
        <v>828</v>
      </c>
      <c r="I3">
        <v>200</v>
      </c>
      <c r="J3">
        <v>250</v>
      </c>
    </row>
    <row r="4" spans="1:10">
      <c r="B4">
        <v>256</v>
      </c>
      <c r="C4" s="41">
        <f>$B$2/B4</f>
        <v>15625</v>
      </c>
      <c r="D4" s="7">
        <f>256/B4*$B$1</f>
        <v>8</v>
      </c>
      <c r="F4">
        <v>1</v>
      </c>
      <c r="G4">
        <f>$F4*256/G$3</f>
        <v>1.28</v>
      </c>
      <c r="H4">
        <f>ROUND(G4,0)</f>
        <v>1</v>
      </c>
      <c r="I4">
        <f>ROUND($H4*I$3/256,0)*256/I$3</f>
        <v>1.28</v>
      </c>
      <c r="J4">
        <f>ROUND($H4*J$3/256,0)*256/J$3</f>
        <v>1.024</v>
      </c>
    </row>
    <row r="5" spans="1:10">
      <c r="B5">
        <v>255</v>
      </c>
      <c r="C5" s="41">
        <f t="shared" ref="C5:C69" si="0">$B$2/B5</f>
        <v>15686.274509803921</v>
      </c>
      <c r="D5" s="7">
        <f t="shared" ref="D5:D68" si="1">256/B5*$B$1</f>
        <v>8.0313725490196077</v>
      </c>
      <c r="H5">
        <v>2</v>
      </c>
      <c r="I5">
        <f>ROUND($H5*I$3/256,0)*256/I$3</f>
        <v>2.56</v>
      </c>
      <c r="J5">
        <f>ROUND($H5*J$3/256,0)*256/J$3</f>
        <v>2.048</v>
      </c>
    </row>
    <row r="6" spans="1:10">
      <c r="B6">
        <v>254</v>
      </c>
      <c r="C6" s="41">
        <f t="shared" si="0"/>
        <v>15748.031496062993</v>
      </c>
      <c r="D6" s="7">
        <f t="shared" si="1"/>
        <v>8.0629921259842519</v>
      </c>
      <c r="F6">
        <v>2</v>
      </c>
      <c r="G6">
        <f t="shared" ref="G6:G16" si="2">$F6*256/G$3</f>
        <v>2.56</v>
      </c>
      <c r="H6">
        <f t="shared" ref="H6:H16" si="3">ROUND(G6,0)</f>
        <v>3</v>
      </c>
      <c r="I6">
        <f t="shared" ref="I6:J16" si="4">ROUND($H6*I$3/256,0)*256/I$3</f>
        <v>2.56</v>
      </c>
      <c r="J6">
        <f t="shared" si="4"/>
        <v>3.0720000000000001</v>
      </c>
    </row>
    <row r="7" spans="1:10">
      <c r="B7">
        <v>253</v>
      </c>
      <c r="C7" s="41">
        <f t="shared" si="0"/>
        <v>15810.276679841898</v>
      </c>
      <c r="D7" s="7">
        <f t="shared" si="1"/>
        <v>8.0948616600790508</v>
      </c>
      <c r="F7">
        <v>3</v>
      </c>
      <c r="G7">
        <f t="shared" si="2"/>
        <v>3.84</v>
      </c>
      <c r="H7">
        <f t="shared" si="3"/>
        <v>4</v>
      </c>
      <c r="I7">
        <f t="shared" si="4"/>
        <v>3.84</v>
      </c>
      <c r="J7">
        <f t="shared" si="4"/>
        <v>4.0960000000000001</v>
      </c>
    </row>
    <row r="8" spans="1:10">
      <c r="B8">
        <v>252</v>
      </c>
      <c r="C8" s="41">
        <f t="shared" si="0"/>
        <v>15873.015873015873</v>
      </c>
      <c r="D8" s="7">
        <f t="shared" si="1"/>
        <v>8.1269841269841265</v>
      </c>
      <c r="F8">
        <v>4</v>
      </c>
      <c r="G8">
        <f t="shared" si="2"/>
        <v>5.12</v>
      </c>
      <c r="H8">
        <f t="shared" si="3"/>
        <v>5</v>
      </c>
      <c r="I8">
        <f t="shared" si="4"/>
        <v>5.12</v>
      </c>
      <c r="J8">
        <f t="shared" si="4"/>
        <v>5.12</v>
      </c>
    </row>
    <row r="9" spans="1:10">
      <c r="B9">
        <v>251</v>
      </c>
      <c r="C9" s="41">
        <f t="shared" si="0"/>
        <v>15936.254980079681</v>
      </c>
      <c r="D9" s="7">
        <f t="shared" si="1"/>
        <v>8.1593625498007967</v>
      </c>
      <c r="F9">
        <v>5</v>
      </c>
      <c r="G9">
        <f t="shared" si="2"/>
        <v>6.4</v>
      </c>
      <c r="H9">
        <f t="shared" si="3"/>
        <v>6</v>
      </c>
      <c r="I9">
        <f t="shared" si="4"/>
        <v>6.4</v>
      </c>
      <c r="J9">
        <f t="shared" si="4"/>
        <v>6.1440000000000001</v>
      </c>
    </row>
    <row r="10" spans="1:10">
      <c r="B10">
        <v>250</v>
      </c>
      <c r="C10" s="41">
        <f t="shared" si="0"/>
        <v>16000</v>
      </c>
      <c r="D10" s="7">
        <f t="shared" si="1"/>
        <v>8.1920000000000002</v>
      </c>
      <c r="H10">
        <v>7</v>
      </c>
      <c r="I10">
        <f>ROUND($H10*I$3/256,0)*256/I$3</f>
        <v>6.4</v>
      </c>
      <c r="J10">
        <f>ROUND($H10*J$3/256,0)*256/J$3</f>
        <v>7.1680000000000001</v>
      </c>
    </row>
    <row r="11" spans="1:10">
      <c r="B11">
        <v>249</v>
      </c>
      <c r="C11" s="41">
        <f t="shared" si="0"/>
        <v>16064.25702811245</v>
      </c>
      <c r="D11" s="7">
        <f t="shared" si="1"/>
        <v>8.2248995983935735</v>
      </c>
      <c r="F11">
        <v>6</v>
      </c>
      <c r="G11">
        <f t="shared" si="2"/>
        <v>7.68</v>
      </c>
      <c r="H11">
        <f t="shared" si="3"/>
        <v>8</v>
      </c>
      <c r="I11">
        <f t="shared" si="4"/>
        <v>7.68</v>
      </c>
      <c r="J11">
        <f t="shared" si="4"/>
        <v>8.1920000000000002</v>
      </c>
    </row>
    <row r="12" spans="1:10">
      <c r="B12">
        <v>248</v>
      </c>
      <c r="C12" s="41">
        <f t="shared" si="0"/>
        <v>16129.032258064517</v>
      </c>
      <c r="D12" s="7">
        <f t="shared" si="1"/>
        <v>8.258064516129032</v>
      </c>
      <c r="F12">
        <v>7</v>
      </c>
      <c r="G12">
        <f t="shared" si="2"/>
        <v>8.9600000000000009</v>
      </c>
      <c r="H12">
        <f t="shared" si="3"/>
        <v>9</v>
      </c>
      <c r="I12">
        <f t="shared" si="4"/>
        <v>8.9600000000000009</v>
      </c>
      <c r="J12">
        <f t="shared" si="4"/>
        <v>9.2159999999999993</v>
      </c>
    </row>
    <row r="13" spans="1:10">
      <c r="B13">
        <v>247</v>
      </c>
      <c r="C13" s="41">
        <f t="shared" si="0"/>
        <v>16194.331983805669</v>
      </c>
      <c r="D13" s="7">
        <f t="shared" si="1"/>
        <v>8.2914979757085021</v>
      </c>
      <c r="F13">
        <v>8</v>
      </c>
      <c r="G13">
        <f t="shared" si="2"/>
        <v>10.24</v>
      </c>
      <c r="H13">
        <f t="shared" si="3"/>
        <v>10</v>
      </c>
      <c r="I13">
        <f t="shared" si="4"/>
        <v>10.24</v>
      </c>
      <c r="J13">
        <f t="shared" si="4"/>
        <v>10.24</v>
      </c>
    </row>
    <row r="14" spans="1:10">
      <c r="B14">
        <v>246</v>
      </c>
      <c r="C14" s="41">
        <f t="shared" si="0"/>
        <v>16260.162601626016</v>
      </c>
      <c r="D14" s="7">
        <f t="shared" si="1"/>
        <v>8.3252032520325212</v>
      </c>
      <c r="H14">
        <v>11</v>
      </c>
      <c r="I14">
        <f>ROUND($H14*I$3/256,0)*256/I$3</f>
        <v>11.52</v>
      </c>
      <c r="J14">
        <f>ROUND($H14*J$3/256,0)*256/J$3</f>
        <v>11.263999999999999</v>
      </c>
    </row>
    <row r="15" spans="1:10">
      <c r="B15">
        <v>245</v>
      </c>
      <c r="C15" s="41">
        <f t="shared" si="0"/>
        <v>16326.530612244898</v>
      </c>
      <c r="D15" s="7">
        <f t="shared" si="1"/>
        <v>8.3591836734693885</v>
      </c>
      <c r="F15">
        <v>9</v>
      </c>
      <c r="G15">
        <f t="shared" si="2"/>
        <v>11.52</v>
      </c>
      <c r="H15">
        <f t="shared" si="3"/>
        <v>12</v>
      </c>
      <c r="I15">
        <f t="shared" si="4"/>
        <v>11.52</v>
      </c>
      <c r="J15">
        <f t="shared" si="4"/>
        <v>12.288</v>
      </c>
    </row>
    <row r="16" spans="1:10">
      <c r="B16">
        <v>244</v>
      </c>
      <c r="C16" s="41">
        <f t="shared" si="0"/>
        <v>16393.442622950821</v>
      </c>
      <c r="D16" s="7">
        <f t="shared" si="1"/>
        <v>8.3934426229508201</v>
      </c>
      <c r="F16">
        <v>10</v>
      </c>
      <c r="G16">
        <f t="shared" si="2"/>
        <v>12.8</v>
      </c>
      <c r="H16">
        <f t="shared" si="3"/>
        <v>13</v>
      </c>
      <c r="I16">
        <f t="shared" si="4"/>
        <v>12.8</v>
      </c>
      <c r="J16">
        <f t="shared" si="4"/>
        <v>13.311999999999999</v>
      </c>
    </row>
    <row r="17" spans="2:4">
      <c r="B17">
        <v>243</v>
      </c>
      <c r="C17" s="41">
        <f t="shared" si="0"/>
        <v>16460.90534979424</v>
      </c>
      <c r="D17" s="7">
        <f t="shared" si="1"/>
        <v>8.4279835390946509</v>
      </c>
    </row>
    <row r="18" spans="2:4">
      <c r="B18">
        <v>242</v>
      </c>
      <c r="C18" s="41">
        <f t="shared" si="0"/>
        <v>16528.92561983471</v>
      </c>
      <c r="D18" s="7">
        <f t="shared" si="1"/>
        <v>8.4628099173553721</v>
      </c>
    </row>
    <row r="19" spans="2:4">
      <c r="B19">
        <v>241</v>
      </c>
      <c r="C19" s="41">
        <f t="shared" si="0"/>
        <v>16597.510373443984</v>
      </c>
      <c r="D19" s="7">
        <f t="shared" si="1"/>
        <v>8.4979253112033195</v>
      </c>
    </row>
    <row r="20" spans="2:4">
      <c r="B20">
        <v>240</v>
      </c>
      <c r="C20" s="41">
        <f t="shared" si="0"/>
        <v>16666.666666666668</v>
      </c>
      <c r="D20" s="7">
        <f t="shared" si="1"/>
        <v>8.5333333333333332</v>
      </c>
    </row>
    <row r="21" spans="2:4">
      <c r="B21">
        <v>239</v>
      </c>
      <c r="C21" s="41">
        <f t="shared" si="0"/>
        <v>16736.401673640168</v>
      </c>
      <c r="D21" s="7">
        <f t="shared" si="1"/>
        <v>8.569037656903765</v>
      </c>
    </row>
    <row r="22" spans="2:4">
      <c r="B22">
        <v>238</v>
      </c>
      <c r="C22" s="41">
        <f t="shared" si="0"/>
        <v>16806.722689075632</v>
      </c>
      <c r="D22" s="7">
        <f t="shared" si="1"/>
        <v>8.6050420168067223</v>
      </c>
    </row>
    <row r="23" spans="2:4">
      <c r="B23">
        <v>237</v>
      </c>
      <c r="C23" s="41">
        <f t="shared" si="0"/>
        <v>16877.637130801686</v>
      </c>
      <c r="D23" s="7">
        <f t="shared" si="1"/>
        <v>8.6413502109704634</v>
      </c>
    </row>
    <row r="24" spans="2:4">
      <c r="B24">
        <v>236</v>
      </c>
      <c r="C24" s="41">
        <f t="shared" si="0"/>
        <v>16949.152542372882</v>
      </c>
      <c r="D24" s="7">
        <f t="shared" si="1"/>
        <v>8.6779661016949152</v>
      </c>
    </row>
    <row r="25" spans="2:4">
      <c r="B25">
        <v>235</v>
      </c>
      <c r="C25" s="41">
        <f t="shared" si="0"/>
        <v>17021.276595744679</v>
      </c>
      <c r="D25" s="7">
        <f t="shared" si="1"/>
        <v>8.7148936170212767</v>
      </c>
    </row>
    <row r="26" spans="2:4">
      <c r="B26">
        <v>234</v>
      </c>
      <c r="C26" s="41">
        <f t="shared" si="0"/>
        <v>17094.017094017094</v>
      </c>
      <c r="D26" s="7">
        <f t="shared" si="1"/>
        <v>8.752136752136753</v>
      </c>
    </row>
    <row r="27" spans="2:4">
      <c r="B27">
        <v>233</v>
      </c>
      <c r="C27" s="41">
        <f t="shared" si="0"/>
        <v>17167.381974248929</v>
      </c>
      <c r="D27" s="7">
        <f t="shared" si="1"/>
        <v>8.7896995708154506</v>
      </c>
    </row>
    <row r="28" spans="2:4">
      <c r="B28">
        <v>232</v>
      </c>
      <c r="C28" s="41">
        <f t="shared" si="0"/>
        <v>17241.379310344826</v>
      </c>
      <c r="D28" s="7">
        <f t="shared" si="1"/>
        <v>8.8275862068965516</v>
      </c>
    </row>
    <row r="29" spans="2:4">
      <c r="B29">
        <v>231</v>
      </c>
      <c r="C29" s="41">
        <f t="shared" si="0"/>
        <v>17316.017316017314</v>
      </c>
      <c r="D29" s="7">
        <f t="shared" si="1"/>
        <v>8.8658008658008658</v>
      </c>
    </row>
    <row r="30" spans="2:4">
      <c r="B30">
        <v>230</v>
      </c>
      <c r="C30" s="41">
        <f t="shared" si="0"/>
        <v>17391.304347826088</v>
      </c>
      <c r="D30" s="7">
        <f t="shared" si="1"/>
        <v>8.9043478260869566</v>
      </c>
    </row>
    <row r="31" spans="2:4">
      <c r="B31">
        <v>229</v>
      </c>
      <c r="C31" s="41">
        <f t="shared" si="0"/>
        <v>17467.248908296944</v>
      </c>
      <c r="D31" s="7">
        <f t="shared" si="1"/>
        <v>8.9432314410480345</v>
      </c>
    </row>
    <row r="32" spans="2:4">
      <c r="B32">
        <v>228</v>
      </c>
      <c r="C32" s="41">
        <f t="shared" si="0"/>
        <v>17543.859649122805</v>
      </c>
      <c r="D32" s="7">
        <f t="shared" si="1"/>
        <v>8.9824561403508767</v>
      </c>
    </row>
    <row r="33" spans="2:4">
      <c r="B33">
        <v>227</v>
      </c>
      <c r="C33" s="41">
        <f t="shared" si="0"/>
        <v>17621.145374449337</v>
      </c>
      <c r="D33" s="7">
        <f t="shared" si="1"/>
        <v>9.0220264317180625</v>
      </c>
    </row>
    <row r="34" spans="2:4">
      <c r="B34">
        <v>226</v>
      </c>
      <c r="C34" s="41">
        <f t="shared" si="0"/>
        <v>17699.115044247788</v>
      </c>
      <c r="D34" s="7">
        <f t="shared" si="1"/>
        <v>9.0619469026548671</v>
      </c>
    </row>
    <row r="35" spans="2:4">
      <c r="B35">
        <v>225</v>
      </c>
      <c r="C35" s="41">
        <f t="shared" si="0"/>
        <v>17777.777777777777</v>
      </c>
      <c r="D35" s="7">
        <f t="shared" si="1"/>
        <v>9.1022222222222222</v>
      </c>
    </row>
    <row r="36" spans="2:4">
      <c r="B36">
        <v>224</v>
      </c>
      <c r="C36" s="41">
        <f t="shared" si="0"/>
        <v>17857.142857142859</v>
      </c>
      <c r="D36" s="7">
        <f t="shared" si="1"/>
        <v>9.1428571428571423</v>
      </c>
    </row>
    <row r="37" spans="2:4">
      <c r="B37">
        <v>223</v>
      </c>
      <c r="C37" s="41">
        <f t="shared" si="0"/>
        <v>17937.219730941702</v>
      </c>
      <c r="D37" s="7">
        <f t="shared" si="1"/>
        <v>9.1838565022421523</v>
      </c>
    </row>
    <row r="38" spans="2:4">
      <c r="B38">
        <v>222</v>
      </c>
      <c r="C38" s="41">
        <f t="shared" si="0"/>
        <v>18018.018018018018</v>
      </c>
      <c r="D38" s="7">
        <f t="shared" si="1"/>
        <v>9.2252252252252251</v>
      </c>
    </row>
    <row r="39" spans="2:4">
      <c r="B39">
        <v>221</v>
      </c>
      <c r="C39" s="41">
        <f t="shared" si="0"/>
        <v>18099.547511312216</v>
      </c>
      <c r="D39" s="7">
        <f t="shared" si="1"/>
        <v>9.266968325791856</v>
      </c>
    </row>
    <row r="40" spans="2:4">
      <c r="B40">
        <v>220</v>
      </c>
      <c r="C40" s="41">
        <f t="shared" si="0"/>
        <v>18181.81818181818</v>
      </c>
      <c r="D40" s="7">
        <f t="shared" si="1"/>
        <v>9.3090909090909086</v>
      </c>
    </row>
    <row r="41" spans="2:4">
      <c r="B41">
        <v>219</v>
      </c>
      <c r="C41" s="41">
        <f t="shared" si="0"/>
        <v>18264.840182648401</v>
      </c>
      <c r="D41" s="7">
        <f t="shared" si="1"/>
        <v>9.3515981735159812</v>
      </c>
    </row>
    <row r="42" spans="2:4">
      <c r="B42">
        <v>218</v>
      </c>
      <c r="C42" s="41">
        <f t="shared" si="0"/>
        <v>18348.623853211007</v>
      </c>
      <c r="D42" s="7">
        <f t="shared" si="1"/>
        <v>9.3944954128440372</v>
      </c>
    </row>
    <row r="43" spans="2:4">
      <c r="B43">
        <v>217</v>
      </c>
      <c r="C43" s="41">
        <f t="shared" si="0"/>
        <v>18433.179723502304</v>
      </c>
      <c r="D43" s="7">
        <f t="shared" si="1"/>
        <v>9.4377880184331797</v>
      </c>
    </row>
    <row r="44" spans="2:4">
      <c r="B44">
        <v>216</v>
      </c>
      <c r="C44" s="41">
        <f t="shared" si="0"/>
        <v>18518.518518518518</v>
      </c>
      <c r="D44" s="7">
        <f t="shared" si="1"/>
        <v>9.481481481481481</v>
      </c>
    </row>
    <row r="45" spans="2:4">
      <c r="B45">
        <v>215</v>
      </c>
      <c r="C45" s="41">
        <f t="shared" si="0"/>
        <v>18604.651162790698</v>
      </c>
      <c r="D45" s="7">
        <f t="shared" si="1"/>
        <v>9.5255813953488371</v>
      </c>
    </row>
    <row r="46" spans="2:4">
      <c r="B46">
        <v>214</v>
      </c>
      <c r="C46" s="41">
        <f t="shared" si="0"/>
        <v>18691.58878504673</v>
      </c>
      <c r="D46" s="7">
        <f t="shared" si="1"/>
        <v>9.5700934579439245</v>
      </c>
    </row>
    <row r="47" spans="2:4">
      <c r="B47">
        <v>213</v>
      </c>
      <c r="C47" s="41">
        <f t="shared" si="0"/>
        <v>18779.342723004695</v>
      </c>
      <c r="D47" s="7">
        <f t="shared" si="1"/>
        <v>9.615023474178404</v>
      </c>
    </row>
    <row r="48" spans="2:4">
      <c r="B48">
        <v>212</v>
      </c>
      <c r="C48" s="41">
        <f t="shared" si="0"/>
        <v>18867.924528301886</v>
      </c>
      <c r="D48" s="7">
        <f t="shared" si="1"/>
        <v>9.6603773584905657</v>
      </c>
    </row>
    <row r="49" spans="2:4">
      <c r="B49">
        <v>211</v>
      </c>
      <c r="C49" s="41">
        <f t="shared" si="0"/>
        <v>18957.34597156398</v>
      </c>
      <c r="D49" s="7">
        <f t="shared" si="1"/>
        <v>9.706161137440759</v>
      </c>
    </row>
    <row r="50" spans="2:4">
      <c r="B50">
        <v>210</v>
      </c>
      <c r="C50" s="41">
        <f t="shared" si="0"/>
        <v>19047.619047619046</v>
      </c>
      <c r="D50" s="7">
        <f t="shared" si="1"/>
        <v>9.7523809523809533</v>
      </c>
    </row>
    <row r="51" spans="2:4">
      <c r="B51">
        <v>209</v>
      </c>
      <c r="C51" s="41">
        <f t="shared" si="0"/>
        <v>19138.755980861242</v>
      </c>
      <c r="D51" s="7">
        <f t="shared" si="1"/>
        <v>9.7990430622009566</v>
      </c>
    </row>
    <row r="52" spans="2:4">
      <c r="B52">
        <v>208</v>
      </c>
      <c r="C52" s="41">
        <f t="shared" si="0"/>
        <v>19230.76923076923</v>
      </c>
      <c r="D52" s="7">
        <f t="shared" si="1"/>
        <v>9.8461538461538467</v>
      </c>
    </row>
    <row r="53" spans="2:4">
      <c r="B53">
        <v>207</v>
      </c>
      <c r="C53" s="41">
        <f t="shared" si="0"/>
        <v>19323.671497584543</v>
      </c>
      <c r="D53" s="7">
        <f t="shared" si="1"/>
        <v>9.8937198067632846</v>
      </c>
    </row>
    <row r="54" spans="2:4">
      <c r="B54">
        <v>206</v>
      </c>
      <c r="C54" s="41">
        <f t="shared" si="0"/>
        <v>19417.475728155339</v>
      </c>
      <c r="D54" s="7">
        <f t="shared" si="1"/>
        <v>9.9417475728155331</v>
      </c>
    </row>
    <row r="55" spans="2:4">
      <c r="B55">
        <v>205</v>
      </c>
      <c r="C55" s="41">
        <f t="shared" si="0"/>
        <v>19512.195121951219</v>
      </c>
      <c r="D55" s="7">
        <f t="shared" si="1"/>
        <v>9.9902439024390244</v>
      </c>
    </row>
    <row r="56" spans="2:4">
      <c r="B56">
        <v>204</v>
      </c>
      <c r="C56" s="41">
        <f t="shared" si="0"/>
        <v>19607.843137254902</v>
      </c>
      <c r="D56" s="7">
        <f t="shared" si="1"/>
        <v>10.03921568627451</v>
      </c>
    </row>
    <row r="57" spans="2:4">
      <c r="B57">
        <v>203</v>
      </c>
      <c r="C57" s="41">
        <f t="shared" si="0"/>
        <v>19704.433497536946</v>
      </c>
      <c r="D57" s="7">
        <f t="shared" si="1"/>
        <v>10.088669950738916</v>
      </c>
    </row>
    <row r="58" spans="2:4">
      <c r="B58">
        <v>202</v>
      </c>
      <c r="C58" s="41">
        <f t="shared" si="0"/>
        <v>19801.980198019803</v>
      </c>
      <c r="D58" s="7">
        <f t="shared" si="1"/>
        <v>10.138613861386139</v>
      </c>
    </row>
    <row r="59" spans="2:4">
      <c r="B59">
        <v>201</v>
      </c>
      <c r="C59" s="41">
        <f t="shared" si="0"/>
        <v>19900.497512437811</v>
      </c>
      <c r="D59" s="7">
        <f t="shared" si="1"/>
        <v>10.189054726368159</v>
      </c>
    </row>
    <row r="60" spans="2:4">
      <c r="B60" s="62">
        <v>200</v>
      </c>
      <c r="C60" s="63">
        <f t="shared" si="0"/>
        <v>20000</v>
      </c>
      <c r="D60" s="64">
        <f t="shared" si="1"/>
        <v>10.24</v>
      </c>
    </row>
    <row r="61" spans="2:4">
      <c r="B61">
        <v>199</v>
      </c>
      <c r="C61" s="41">
        <f t="shared" si="0"/>
        <v>20100.502512562813</v>
      </c>
      <c r="D61" s="7">
        <f t="shared" si="1"/>
        <v>10.291457286432161</v>
      </c>
    </row>
    <row r="62" spans="2:4">
      <c r="B62">
        <v>198</v>
      </c>
      <c r="C62" s="41">
        <f t="shared" si="0"/>
        <v>20202.020202020201</v>
      </c>
      <c r="D62" s="7">
        <f t="shared" si="1"/>
        <v>10.343434343434344</v>
      </c>
    </row>
    <row r="63" spans="2:4">
      <c r="B63">
        <v>197</v>
      </c>
      <c r="C63" s="41">
        <f t="shared" si="0"/>
        <v>20304.568527918782</v>
      </c>
      <c r="D63" s="7">
        <f t="shared" si="1"/>
        <v>10.395939086294415</v>
      </c>
    </row>
    <row r="64" spans="2:4">
      <c r="B64">
        <v>196</v>
      </c>
      <c r="C64" s="41">
        <f t="shared" si="0"/>
        <v>20408.163265306124</v>
      </c>
      <c r="D64" s="7">
        <f t="shared" si="1"/>
        <v>10.448979591836734</v>
      </c>
    </row>
    <row r="65" spans="2:4">
      <c r="B65">
        <v>195</v>
      </c>
      <c r="C65" s="41">
        <f t="shared" si="0"/>
        <v>20512.820512820512</v>
      </c>
      <c r="D65" s="7">
        <f t="shared" si="1"/>
        <v>10.502564102564103</v>
      </c>
    </row>
    <row r="66" spans="2:4">
      <c r="B66">
        <v>194</v>
      </c>
      <c r="C66" s="41">
        <f t="shared" si="0"/>
        <v>20618.556701030928</v>
      </c>
      <c r="D66" s="7">
        <f t="shared" si="1"/>
        <v>10.556701030927835</v>
      </c>
    </row>
    <row r="67" spans="2:4">
      <c r="B67">
        <v>193</v>
      </c>
      <c r="C67" s="41">
        <f t="shared" si="0"/>
        <v>20725.388601036269</v>
      </c>
      <c r="D67" s="7">
        <f t="shared" si="1"/>
        <v>10.61139896373057</v>
      </c>
    </row>
    <row r="68" spans="2:4">
      <c r="B68">
        <v>192</v>
      </c>
      <c r="C68" s="41">
        <f t="shared" si="0"/>
        <v>20833.333333333332</v>
      </c>
      <c r="D68" s="7">
        <f t="shared" si="1"/>
        <v>10.666666666666666</v>
      </c>
    </row>
    <row r="69" spans="2:4">
      <c r="B69">
        <v>191</v>
      </c>
      <c r="C69" s="41">
        <f t="shared" si="0"/>
        <v>20942.408376963351</v>
      </c>
      <c r="D69" s="7">
        <f t="shared" ref="D69:D82" si="5">256/B69*$B$1</f>
        <v>10.722513089005236</v>
      </c>
    </row>
    <row r="70" spans="2:4">
      <c r="B70">
        <v>190</v>
      </c>
      <c r="C70" s="41">
        <f t="shared" ref="C70:C132" si="6">$B$2/B70</f>
        <v>21052.63157894737</v>
      </c>
      <c r="D70" s="7">
        <f t="shared" si="5"/>
        <v>10.778947368421052</v>
      </c>
    </row>
    <row r="71" spans="2:4">
      <c r="B71">
        <v>189</v>
      </c>
      <c r="C71" s="41">
        <f t="shared" si="6"/>
        <v>21164.021164021164</v>
      </c>
      <c r="D71" s="7">
        <f t="shared" si="5"/>
        <v>10.835978835978835</v>
      </c>
    </row>
    <row r="72" spans="2:4">
      <c r="B72">
        <v>188</v>
      </c>
      <c r="C72" s="41">
        <f t="shared" si="6"/>
        <v>21276.59574468085</v>
      </c>
      <c r="D72" s="7">
        <f t="shared" si="5"/>
        <v>10.893617021276595</v>
      </c>
    </row>
    <row r="73" spans="2:4">
      <c r="B73">
        <v>187</v>
      </c>
      <c r="C73" s="41">
        <f t="shared" si="6"/>
        <v>21390.374331550804</v>
      </c>
      <c r="D73" s="7">
        <f t="shared" si="5"/>
        <v>10.95187165775401</v>
      </c>
    </row>
    <row r="74" spans="2:4">
      <c r="B74">
        <v>186</v>
      </c>
      <c r="C74" s="41">
        <f t="shared" si="6"/>
        <v>21505.37634408602</v>
      </c>
      <c r="D74" s="7">
        <f t="shared" si="5"/>
        <v>11.010752688172044</v>
      </c>
    </row>
    <row r="75" spans="2:4">
      <c r="B75">
        <v>185</v>
      </c>
      <c r="C75" s="41">
        <f t="shared" si="6"/>
        <v>21621.62162162162</v>
      </c>
      <c r="D75" s="7">
        <f t="shared" si="5"/>
        <v>11.070270270270271</v>
      </c>
    </row>
    <row r="76" spans="2:4">
      <c r="B76">
        <v>184</v>
      </c>
      <c r="C76" s="41">
        <f t="shared" si="6"/>
        <v>21739.130434782608</v>
      </c>
      <c r="D76" s="7">
        <f t="shared" si="5"/>
        <v>11.130434782608695</v>
      </c>
    </row>
    <row r="77" spans="2:4">
      <c r="B77">
        <v>183</v>
      </c>
      <c r="C77" s="41">
        <f t="shared" si="6"/>
        <v>21857.923497267759</v>
      </c>
      <c r="D77" s="7">
        <f t="shared" si="5"/>
        <v>11.191256830601093</v>
      </c>
    </row>
    <row r="78" spans="2:4">
      <c r="B78">
        <v>182</v>
      </c>
      <c r="C78" s="41">
        <f t="shared" si="6"/>
        <v>21978.021978021978</v>
      </c>
      <c r="D78" s="7">
        <f t="shared" si="5"/>
        <v>11.252747252747254</v>
      </c>
    </row>
    <row r="79" spans="2:4">
      <c r="B79">
        <v>181</v>
      </c>
      <c r="C79" s="41">
        <f t="shared" si="6"/>
        <v>22099.447513812156</v>
      </c>
      <c r="D79" s="7">
        <f t="shared" si="5"/>
        <v>11.314917127071823</v>
      </c>
    </row>
    <row r="80" spans="2:4">
      <c r="B80">
        <v>180</v>
      </c>
      <c r="C80" s="41">
        <f t="shared" si="6"/>
        <v>22222.222222222223</v>
      </c>
      <c r="D80" s="7">
        <f t="shared" si="5"/>
        <v>11.377777777777778</v>
      </c>
    </row>
    <row r="81" spans="2:4">
      <c r="B81">
        <v>179</v>
      </c>
      <c r="C81" s="41">
        <f t="shared" si="6"/>
        <v>22346.368715083798</v>
      </c>
      <c r="D81" s="7">
        <f t="shared" si="5"/>
        <v>11.441340782122905</v>
      </c>
    </row>
    <row r="82" spans="2:4">
      <c r="B82">
        <v>178</v>
      </c>
      <c r="C82" s="41">
        <f t="shared" si="6"/>
        <v>22471.91011235955</v>
      </c>
      <c r="D82" s="7">
        <f t="shared" si="5"/>
        <v>11.50561797752809</v>
      </c>
    </row>
    <row r="83" spans="2:4">
      <c r="B83">
        <v>177</v>
      </c>
      <c r="C83" s="41">
        <f t="shared" si="6"/>
        <v>22598.870056497177</v>
      </c>
      <c r="D83" s="7">
        <f t="shared" ref="D83:D131" si="7">256/B83*$B$1</f>
        <v>11.570621468926554</v>
      </c>
    </row>
    <row r="84" spans="2:4">
      <c r="B84">
        <v>176</v>
      </c>
      <c r="C84" s="41">
        <f t="shared" si="6"/>
        <v>22727.272727272728</v>
      </c>
      <c r="D84" s="7">
        <f t="shared" si="7"/>
        <v>11.636363636363637</v>
      </c>
    </row>
    <row r="85" spans="2:4">
      <c r="B85">
        <v>175</v>
      </c>
      <c r="C85" s="41">
        <f t="shared" si="6"/>
        <v>22857.142857142859</v>
      </c>
      <c r="D85" s="7">
        <f t="shared" si="7"/>
        <v>11.702857142857143</v>
      </c>
    </row>
    <row r="86" spans="2:4">
      <c r="B86">
        <v>174</v>
      </c>
      <c r="C86" s="41">
        <f t="shared" si="6"/>
        <v>22988.505747126437</v>
      </c>
      <c r="D86" s="7">
        <f t="shared" si="7"/>
        <v>11.770114942528735</v>
      </c>
    </row>
    <row r="87" spans="2:4">
      <c r="B87">
        <v>173</v>
      </c>
      <c r="C87" s="41">
        <f t="shared" si="6"/>
        <v>23121.387283236993</v>
      </c>
      <c r="D87" s="7">
        <f t="shared" si="7"/>
        <v>11.83815028901734</v>
      </c>
    </row>
    <row r="88" spans="2:4">
      <c r="B88">
        <v>172</v>
      </c>
      <c r="C88" s="41">
        <f t="shared" si="6"/>
        <v>23255.81395348837</v>
      </c>
      <c r="D88" s="7">
        <f t="shared" si="7"/>
        <v>11.906976744186046</v>
      </c>
    </row>
    <row r="89" spans="2:4">
      <c r="B89">
        <v>171</v>
      </c>
      <c r="C89" s="41">
        <f t="shared" si="6"/>
        <v>23391.812865497075</v>
      </c>
      <c r="D89" s="7">
        <f t="shared" si="7"/>
        <v>11.976608187134502</v>
      </c>
    </row>
    <row r="90" spans="2:4">
      <c r="B90">
        <v>170</v>
      </c>
      <c r="C90" s="41">
        <f t="shared" si="6"/>
        <v>23529.411764705881</v>
      </c>
      <c r="D90" s="7">
        <f t="shared" si="7"/>
        <v>12.047058823529412</v>
      </c>
    </row>
    <row r="91" spans="2:4">
      <c r="B91">
        <v>169</v>
      </c>
      <c r="C91" s="41">
        <f t="shared" si="6"/>
        <v>23668.639053254439</v>
      </c>
      <c r="D91" s="7">
        <f t="shared" si="7"/>
        <v>12.118343195266272</v>
      </c>
    </row>
    <row r="92" spans="2:4">
      <c r="B92">
        <v>168</v>
      </c>
      <c r="C92" s="41">
        <f t="shared" si="6"/>
        <v>23809.523809523809</v>
      </c>
      <c r="D92" s="7">
        <f t="shared" si="7"/>
        <v>12.19047619047619</v>
      </c>
    </row>
    <row r="93" spans="2:4">
      <c r="B93">
        <v>167</v>
      </c>
      <c r="C93" s="41">
        <f t="shared" si="6"/>
        <v>23952.095808383234</v>
      </c>
      <c r="D93" s="7">
        <f t="shared" si="7"/>
        <v>12.263473053892216</v>
      </c>
    </row>
    <row r="94" spans="2:4">
      <c r="B94">
        <v>166</v>
      </c>
      <c r="C94" s="41">
        <f t="shared" si="6"/>
        <v>24096.385542168675</v>
      </c>
      <c r="D94" s="7">
        <f t="shared" si="7"/>
        <v>12.337349397590362</v>
      </c>
    </row>
    <row r="95" spans="2:4">
      <c r="B95">
        <v>165</v>
      </c>
      <c r="C95" s="41">
        <f t="shared" si="6"/>
        <v>24242.424242424244</v>
      </c>
      <c r="D95" s="7">
        <f t="shared" si="7"/>
        <v>12.412121212121212</v>
      </c>
    </row>
    <row r="96" spans="2:4">
      <c r="B96">
        <v>164</v>
      </c>
      <c r="C96" s="41">
        <f t="shared" si="6"/>
        <v>24390.243902439026</v>
      </c>
      <c r="D96" s="7">
        <f t="shared" si="7"/>
        <v>12.487804878048781</v>
      </c>
    </row>
    <row r="97" spans="2:4">
      <c r="B97">
        <v>163</v>
      </c>
      <c r="C97" s="41">
        <f t="shared" si="6"/>
        <v>24539.877300613498</v>
      </c>
      <c r="D97" s="7">
        <f t="shared" si="7"/>
        <v>12.564417177914111</v>
      </c>
    </row>
    <row r="98" spans="2:4">
      <c r="B98">
        <v>162</v>
      </c>
      <c r="C98" s="41">
        <f t="shared" si="6"/>
        <v>24691.358024691359</v>
      </c>
      <c r="D98" s="7">
        <f t="shared" si="7"/>
        <v>12.641975308641975</v>
      </c>
    </row>
    <row r="99" spans="2:4">
      <c r="B99">
        <v>161</v>
      </c>
      <c r="C99" s="41">
        <f t="shared" si="6"/>
        <v>24844.72049689441</v>
      </c>
      <c r="D99" s="7">
        <f t="shared" si="7"/>
        <v>12.720496894409937</v>
      </c>
    </row>
    <row r="100" spans="2:4">
      <c r="B100">
        <v>160</v>
      </c>
      <c r="C100" s="41">
        <f t="shared" si="6"/>
        <v>25000</v>
      </c>
      <c r="D100" s="7">
        <f t="shared" si="7"/>
        <v>12.8</v>
      </c>
    </row>
    <row r="101" spans="2:4">
      <c r="B101">
        <v>159</v>
      </c>
      <c r="C101" s="41">
        <f t="shared" si="6"/>
        <v>25157.232704402515</v>
      </c>
      <c r="D101" s="7">
        <f t="shared" si="7"/>
        <v>12.880503144654089</v>
      </c>
    </row>
    <row r="102" spans="2:4">
      <c r="B102">
        <v>158</v>
      </c>
      <c r="C102" s="41">
        <f t="shared" si="6"/>
        <v>25316.455696202531</v>
      </c>
      <c r="D102" s="7">
        <f t="shared" si="7"/>
        <v>12.962025316455696</v>
      </c>
    </row>
    <row r="103" spans="2:4">
      <c r="B103">
        <v>157</v>
      </c>
      <c r="C103" s="41">
        <f t="shared" si="6"/>
        <v>25477.707006369426</v>
      </c>
      <c r="D103" s="7">
        <f t="shared" si="7"/>
        <v>13.044585987261147</v>
      </c>
    </row>
    <row r="104" spans="2:4">
      <c r="B104">
        <v>156</v>
      </c>
      <c r="C104" s="41">
        <f t="shared" si="6"/>
        <v>25641.025641025641</v>
      </c>
      <c r="D104" s="7">
        <f t="shared" si="7"/>
        <v>13.128205128205128</v>
      </c>
    </row>
    <row r="105" spans="2:4">
      <c r="B105">
        <v>155</v>
      </c>
      <c r="C105" s="41">
        <f t="shared" si="6"/>
        <v>25806.451612903227</v>
      </c>
      <c r="D105" s="7">
        <f t="shared" si="7"/>
        <v>13.212903225806452</v>
      </c>
    </row>
    <row r="106" spans="2:4">
      <c r="B106">
        <v>154</v>
      </c>
      <c r="C106" s="41">
        <f t="shared" si="6"/>
        <v>25974.025974025975</v>
      </c>
      <c r="D106" s="7">
        <f t="shared" si="7"/>
        <v>13.2987012987013</v>
      </c>
    </row>
    <row r="107" spans="2:4">
      <c r="B107">
        <v>153</v>
      </c>
      <c r="C107" s="41">
        <f t="shared" si="6"/>
        <v>26143.790849673202</v>
      </c>
      <c r="D107" s="7">
        <f t="shared" si="7"/>
        <v>13.38562091503268</v>
      </c>
    </row>
    <row r="108" spans="2:4">
      <c r="B108">
        <v>152</v>
      </c>
      <c r="C108" s="41">
        <f t="shared" si="6"/>
        <v>26315.78947368421</v>
      </c>
      <c r="D108" s="7">
        <f t="shared" si="7"/>
        <v>13.473684210526315</v>
      </c>
    </row>
    <row r="109" spans="2:4">
      <c r="B109">
        <v>151</v>
      </c>
      <c r="C109" s="41">
        <f t="shared" si="6"/>
        <v>26490.066225165563</v>
      </c>
      <c r="D109" s="7">
        <f t="shared" si="7"/>
        <v>13.562913907284768</v>
      </c>
    </row>
    <row r="110" spans="2:4">
      <c r="B110">
        <v>150</v>
      </c>
      <c r="C110" s="41">
        <f t="shared" si="6"/>
        <v>26666.666666666668</v>
      </c>
      <c r="D110" s="7">
        <f t="shared" si="7"/>
        <v>13.653333333333334</v>
      </c>
    </row>
    <row r="111" spans="2:4">
      <c r="B111">
        <v>149</v>
      </c>
      <c r="C111" s="41">
        <f t="shared" si="6"/>
        <v>26845.637583892618</v>
      </c>
      <c r="D111" s="7">
        <f t="shared" si="7"/>
        <v>13.74496644295302</v>
      </c>
    </row>
    <row r="112" spans="2:4">
      <c r="B112">
        <v>148</v>
      </c>
      <c r="C112" s="41">
        <f t="shared" si="6"/>
        <v>27027.027027027027</v>
      </c>
      <c r="D112" s="7">
        <f t="shared" si="7"/>
        <v>13.837837837837839</v>
      </c>
    </row>
    <row r="113" spans="2:4">
      <c r="B113">
        <v>147</v>
      </c>
      <c r="C113" s="41">
        <f t="shared" si="6"/>
        <v>27210.884353741498</v>
      </c>
      <c r="D113" s="7">
        <f t="shared" si="7"/>
        <v>13.931972789115646</v>
      </c>
    </row>
    <row r="114" spans="2:4">
      <c r="B114">
        <v>146</v>
      </c>
      <c r="C114" s="41">
        <f t="shared" si="6"/>
        <v>27397.260273972603</v>
      </c>
      <c r="D114" s="7">
        <f t="shared" si="7"/>
        <v>14.027397260273972</v>
      </c>
    </row>
    <row r="115" spans="2:4">
      <c r="B115">
        <v>145</v>
      </c>
      <c r="C115" s="41">
        <f t="shared" si="6"/>
        <v>27586.206896551725</v>
      </c>
      <c r="D115" s="7">
        <f t="shared" si="7"/>
        <v>14.124137931034483</v>
      </c>
    </row>
    <row r="116" spans="2:4">
      <c r="B116">
        <v>144</v>
      </c>
      <c r="C116" s="41">
        <f t="shared" si="6"/>
        <v>27777.777777777777</v>
      </c>
      <c r="D116" s="7">
        <f t="shared" si="7"/>
        <v>14.222222222222221</v>
      </c>
    </row>
    <row r="117" spans="2:4">
      <c r="B117">
        <v>143</v>
      </c>
      <c r="C117" s="41">
        <f t="shared" si="6"/>
        <v>27972.027972027972</v>
      </c>
      <c r="D117" s="7">
        <f t="shared" si="7"/>
        <v>14.321678321678322</v>
      </c>
    </row>
    <row r="118" spans="2:4">
      <c r="B118">
        <v>142</v>
      </c>
      <c r="C118" s="41">
        <f t="shared" si="6"/>
        <v>28169.014084507042</v>
      </c>
      <c r="D118" s="7">
        <f t="shared" si="7"/>
        <v>14.422535211267606</v>
      </c>
    </row>
    <row r="119" spans="2:4">
      <c r="B119">
        <v>141</v>
      </c>
      <c r="C119" s="41">
        <f t="shared" si="6"/>
        <v>28368.794326241135</v>
      </c>
      <c r="D119" s="7">
        <f t="shared" si="7"/>
        <v>14.524822695035461</v>
      </c>
    </row>
    <row r="120" spans="2:4">
      <c r="B120">
        <v>140</v>
      </c>
      <c r="C120" s="41">
        <f t="shared" si="6"/>
        <v>28571.428571428572</v>
      </c>
      <c r="D120" s="7">
        <f t="shared" si="7"/>
        <v>14.628571428571428</v>
      </c>
    </row>
    <row r="121" spans="2:4">
      <c r="B121">
        <v>139</v>
      </c>
      <c r="C121" s="41">
        <f t="shared" si="6"/>
        <v>28776.978417266186</v>
      </c>
      <c r="D121" s="7">
        <f t="shared" si="7"/>
        <v>14.733812949640289</v>
      </c>
    </row>
    <row r="122" spans="2:4">
      <c r="B122">
        <v>138</v>
      </c>
      <c r="C122" s="41">
        <f t="shared" si="6"/>
        <v>28985.507246376812</v>
      </c>
      <c r="D122" s="7">
        <f t="shared" si="7"/>
        <v>14.840579710144928</v>
      </c>
    </row>
    <row r="123" spans="2:4">
      <c r="B123">
        <v>137</v>
      </c>
      <c r="C123" s="41">
        <f t="shared" si="6"/>
        <v>29197.080291970804</v>
      </c>
      <c r="D123" s="7">
        <f t="shared" si="7"/>
        <v>14.948905109489051</v>
      </c>
    </row>
    <row r="124" spans="2:4">
      <c r="B124">
        <v>136</v>
      </c>
      <c r="C124" s="41">
        <f t="shared" si="6"/>
        <v>29411.764705882353</v>
      </c>
      <c r="D124" s="7">
        <f t="shared" si="7"/>
        <v>15.058823529411764</v>
      </c>
    </row>
    <row r="125" spans="2:4">
      <c r="B125">
        <v>135</v>
      </c>
      <c r="C125" s="41">
        <f t="shared" si="6"/>
        <v>29629.629629629631</v>
      </c>
      <c r="D125" s="7">
        <f t="shared" si="7"/>
        <v>15.170370370370371</v>
      </c>
    </row>
    <row r="126" spans="2:4">
      <c r="B126">
        <v>134</v>
      </c>
      <c r="C126" s="41">
        <f t="shared" si="6"/>
        <v>29850.746268656716</v>
      </c>
      <c r="D126" s="7">
        <f t="shared" si="7"/>
        <v>15.283582089552239</v>
      </c>
    </row>
    <row r="127" spans="2:4">
      <c r="B127">
        <v>133</v>
      </c>
      <c r="C127" s="41">
        <f t="shared" si="6"/>
        <v>30075.187969924813</v>
      </c>
      <c r="D127" s="7">
        <f t="shared" si="7"/>
        <v>15.398496240601503</v>
      </c>
    </row>
    <row r="128" spans="2:4">
      <c r="B128">
        <v>132</v>
      </c>
      <c r="C128" s="41">
        <f t="shared" si="6"/>
        <v>30303.030303030304</v>
      </c>
      <c r="D128" s="7">
        <f t="shared" si="7"/>
        <v>15.515151515151516</v>
      </c>
    </row>
    <row r="129" spans="2:4">
      <c r="B129">
        <v>131</v>
      </c>
      <c r="C129" s="41">
        <f t="shared" si="6"/>
        <v>30534.351145038167</v>
      </c>
      <c r="D129" s="7">
        <f t="shared" si="7"/>
        <v>15.633587786259541</v>
      </c>
    </row>
    <row r="130" spans="2:4">
      <c r="B130">
        <v>130</v>
      </c>
      <c r="C130" s="41">
        <f t="shared" si="6"/>
        <v>30769.23076923077</v>
      </c>
      <c r="D130" s="7">
        <f t="shared" si="7"/>
        <v>15.753846153846155</v>
      </c>
    </row>
    <row r="131" spans="2:4">
      <c r="B131">
        <v>129</v>
      </c>
      <c r="C131" s="41">
        <f t="shared" si="6"/>
        <v>31007.751937984496</v>
      </c>
      <c r="D131" s="7">
        <f t="shared" si="7"/>
        <v>15.875968992248062</v>
      </c>
    </row>
    <row r="132" spans="2:4">
      <c r="B132">
        <v>128</v>
      </c>
      <c r="C132" s="41">
        <f t="shared" si="6"/>
        <v>31250</v>
      </c>
      <c r="D132" s="7">
        <f t="shared" ref="D132" si="8">256/B132*$B$1</f>
        <v>16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I103"/>
  <sheetViews>
    <sheetView topLeftCell="A7" zoomScale="125" zoomScaleNormal="125" zoomScalePageLayoutView="125" workbookViewId="0">
      <selection activeCell="I106" sqref="I106"/>
    </sheetView>
  </sheetViews>
  <sheetFormatPr defaultColWidth="3" defaultRowHeight="14.4"/>
  <sheetData>
    <row r="2" spans="2:61">
      <c r="AG2" s="43"/>
      <c r="AH2" t="s">
        <v>538</v>
      </c>
      <c r="AN2" s="43"/>
      <c r="AO2" t="s">
        <v>539</v>
      </c>
      <c r="AV2" s="43"/>
      <c r="AW2" t="s">
        <v>540</v>
      </c>
    </row>
    <row r="3" spans="2:61" ht="15" thickBot="1"/>
    <row r="4" spans="2:61" ht="15" thickBot="1">
      <c r="B4" t="s">
        <v>185</v>
      </c>
      <c r="G4" s="120"/>
      <c r="H4" s="120"/>
      <c r="I4" s="120"/>
      <c r="J4" s="120"/>
      <c r="K4" s="120"/>
      <c r="L4" s="120"/>
      <c r="M4" s="120"/>
      <c r="N4" s="120"/>
      <c r="O4" s="121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3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1"/>
      <c r="AX4" s="122"/>
      <c r="AY4" s="122"/>
      <c r="AZ4" s="122"/>
      <c r="BA4" s="122"/>
      <c r="BB4" s="122"/>
      <c r="BC4" s="122"/>
      <c r="BD4" s="122"/>
      <c r="BE4" s="122"/>
      <c r="BF4" s="123"/>
      <c r="BG4" s="120"/>
      <c r="BH4" s="120"/>
      <c r="BI4" s="120"/>
    </row>
    <row r="6" spans="2:61" ht="15" thickBot="1">
      <c r="AH6" t="s">
        <v>529</v>
      </c>
    </row>
    <row r="7" spans="2:61" ht="15" thickBot="1">
      <c r="B7" t="s">
        <v>533</v>
      </c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3"/>
      <c r="AI7" s="120"/>
      <c r="AJ7" s="120"/>
      <c r="AK7" s="120"/>
      <c r="AL7" s="120"/>
      <c r="AM7" s="120"/>
      <c r="AN7" s="120"/>
      <c r="AO7" s="121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</row>
    <row r="9" spans="2:61" ht="15" thickBot="1"/>
    <row r="10" spans="2:61" ht="15" thickBot="1">
      <c r="B10" t="s">
        <v>527</v>
      </c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1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3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</row>
    <row r="12" spans="2:61" ht="15" thickBot="1"/>
    <row r="13" spans="2:61" ht="15" thickBot="1">
      <c r="B13" t="s">
        <v>523</v>
      </c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3"/>
      <c r="S13" s="120"/>
      <c r="T13" s="120"/>
      <c r="U13" s="120"/>
      <c r="V13" s="120"/>
      <c r="W13" s="120"/>
      <c r="X13" s="120"/>
      <c r="Y13" s="120"/>
      <c r="Z13" s="120"/>
      <c r="AA13" s="120"/>
      <c r="AB13" s="121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  <c r="BA13" s="120"/>
      <c r="BB13" s="120"/>
      <c r="BC13" s="120"/>
      <c r="BD13" s="120"/>
      <c r="BE13" s="120"/>
      <c r="BF13" s="121"/>
      <c r="BG13" s="122"/>
      <c r="BH13" s="122"/>
      <c r="BI13" s="122"/>
    </row>
    <row r="15" spans="2:61" ht="15" thickBot="1"/>
    <row r="16" spans="2:61" ht="15" thickBot="1">
      <c r="B16" t="s">
        <v>524</v>
      </c>
      <c r="G16" s="122"/>
      <c r="H16" s="122"/>
      <c r="I16" s="122"/>
      <c r="J16" s="122"/>
      <c r="K16" s="122"/>
      <c r="L16" s="122"/>
      <c r="M16" s="122"/>
      <c r="N16" s="122"/>
      <c r="O16" s="123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1"/>
      <c r="AF16" s="122"/>
      <c r="AG16" s="122"/>
      <c r="AH16" s="123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1"/>
    </row>
    <row r="18" spans="2:61" ht="15" thickBot="1"/>
    <row r="19" spans="2:61" ht="15" thickBot="1">
      <c r="B19" s="5" t="s">
        <v>528</v>
      </c>
      <c r="G19" s="122"/>
      <c r="H19" s="122"/>
      <c r="I19" s="122"/>
      <c r="J19" s="122"/>
      <c r="K19" s="122"/>
      <c r="L19" s="122"/>
      <c r="M19" s="122"/>
      <c r="N19" s="122"/>
      <c r="O19" s="123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1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3"/>
      <c r="AX19" s="120"/>
      <c r="AY19" s="120"/>
      <c r="AZ19" s="120"/>
      <c r="BA19" s="120"/>
      <c r="BB19" s="120"/>
      <c r="BC19" s="120"/>
      <c r="BD19" s="120"/>
      <c r="BE19" s="120"/>
      <c r="BF19" s="121"/>
      <c r="BG19" s="122"/>
      <c r="BH19" s="122"/>
      <c r="BI19" s="122"/>
    </row>
    <row r="21" spans="2:61" ht="15" thickBot="1"/>
    <row r="22" spans="2:61" ht="15" thickBot="1">
      <c r="B22" t="s">
        <v>526</v>
      </c>
      <c r="G22" s="122"/>
      <c r="H22" s="122"/>
      <c r="I22" s="122"/>
      <c r="J22" s="122"/>
      <c r="K22" s="123"/>
      <c r="L22" s="120"/>
      <c r="M22" s="120"/>
      <c r="N22" s="120"/>
      <c r="O22" s="121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  <c r="AT22" s="120"/>
      <c r="AU22" s="120"/>
      <c r="AV22" s="120"/>
      <c r="AW22" s="121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</row>
    <row r="23" spans="2:61">
      <c r="B23" t="s">
        <v>527</v>
      </c>
    </row>
    <row r="24" spans="2:61" ht="15" thickBot="1"/>
    <row r="25" spans="2:61" ht="15" thickBot="1">
      <c r="B25" t="s">
        <v>525</v>
      </c>
      <c r="G25" s="122"/>
      <c r="H25" s="122"/>
      <c r="I25" s="122"/>
      <c r="J25" s="122"/>
      <c r="K25" s="124"/>
      <c r="L25" s="124"/>
      <c r="M25" s="124"/>
      <c r="N25" s="124"/>
      <c r="O25" s="124"/>
      <c r="P25" s="124"/>
      <c r="Q25" s="124"/>
      <c r="R25" s="125"/>
      <c r="S25" s="126"/>
      <c r="T25" s="126"/>
      <c r="U25" s="126"/>
      <c r="V25" s="126"/>
      <c r="W25" s="126"/>
      <c r="X25" s="126"/>
      <c r="Y25" s="126"/>
      <c r="Z25" s="126"/>
      <c r="AA25" s="126"/>
      <c r="AB25" s="121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4"/>
      <c r="AT25" s="124"/>
      <c r="AU25" s="124"/>
      <c r="AV25" s="124"/>
      <c r="AW25" s="124"/>
      <c r="AX25" s="124"/>
      <c r="AY25" s="124"/>
      <c r="AZ25" s="125"/>
      <c r="BA25" s="126"/>
      <c r="BB25" s="126"/>
      <c r="BC25" s="126"/>
      <c r="BD25" s="126"/>
      <c r="BE25" s="126"/>
      <c r="BF25" s="121"/>
      <c r="BG25" s="122"/>
      <c r="BH25" s="122"/>
      <c r="BI25" s="122"/>
    </row>
    <row r="26" spans="2:61">
      <c r="B26" t="s">
        <v>536</v>
      </c>
    </row>
    <row r="28" spans="2:61">
      <c r="U28" s="43"/>
      <c r="V28" t="s">
        <v>538</v>
      </c>
      <c r="AN28" s="43"/>
      <c r="AO28" t="s">
        <v>539</v>
      </c>
      <c r="AV28" s="43"/>
      <c r="AW28" t="s">
        <v>540</v>
      </c>
    </row>
    <row r="29" spans="2:61" ht="15" thickBot="1"/>
    <row r="30" spans="2:61" ht="15" thickBot="1">
      <c r="B30" t="s">
        <v>185</v>
      </c>
      <c r="G30" s="120"/>
      <c r="H30" s="120"/>
      <c r="I30" s="120"/>
      <c r="J30" s="120"/>
      <c r="K30" s="120"/>
      <c r="L30" s="120"/>
      <c r="M30" s="120"/>
      <c r="N30" s="120"/>
      <c r="O30" s="121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3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1"/>
      <c r="AX30" s="122"/>
      <c r="AY30" s="122"/>
      <c r="AZ30" s="122"/>
      <c r="BA30" s="122"/>
      <c r="BB30" s="122"/>
      <c r="BC30" s="122"/>
      <c r="BD30" s="122"/>
      <c r="BE30" s="122"/>
      <c r="BF30" s="123"/>
      <c r="BG30" s="120"/>
      <c r="BH30" s="120"/>
      <c r="BI30" s="120"/>
    </row>
    <row r="32" spans="2:61" ht="15" thickBot="1">
      <c r="V32" t="s">
        <v>530</v>
      </c>
    </row>
    <row r="33" spans="2:61" ht="15" thickBot="1">
      <c r="B33" t="s">
        <v>533</v>
      </c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3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</row>
    <row r="35" spans="2:61" ht="15" thickBot="1"/>
    <row r="36" spans="2:61" ht="15" thickBot="1">
      <c r="B36" t="s">
        <v>527</v>
      </c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1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3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</row>
    <row r="38" spans="2:61" ht="15" thickBot="1"/>
    <row r="39" spans="2:61" ht="15" thickBot="1">
      <c r="B39" t="s">
        <v>523</v>
      </c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3"/>
      <c r="S39" s="120"/>
      <c r="T39" s="120"/>
      <c r="U39" s="120"/>
      <c r="V39" s="121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  <c r="BA39" s="120"/>
      <c r="BB39" s="120"/>
      <c r="BC39" s="120"/>
      <c r="BD39" s="120"/>
      <c r="BE39" s="120"/>
      <c r="BF39" s="121"/>
      <c r="BG39" s="122"/>
      <c r="BH39" s="122"/>
      <c r="BI39" s="122"/>
    </row>
    <row r="41" spans="2:61" ht="15" thickBot="1"/>
    <row r="42" spans="2:61" ht="15" thickBot="1">
      <c r="B42" t="s">
        <v>524</v>
      </c>
      <c r="G42" s="122"/>
      <c r="H42" s="122"/>
      <c r="I42" s="122"/>
      <c r="J42" s="122"/>
      <c r="K42" s="122"/>
      <c r="L42" s="122"/>
      <c r="M42" s="122"/>
      <c r="N42" s="122"/>
      <c r="O42" s="123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1"/>
    </row>
    <row r="44" spans="2:61" ht="15" thickBot="1"/>
    <row r="45" spans="2:61" ht="15" thickBot="1">
      <c r="B45" s="5" t="s">
        <v>528</v>
      </c>
      <c r="G45" s="122"/>
      <c r="H45" s="122"/>
      <c r="I45" s="122"/>
      <c r="J45" s="122"/>
      <c r="K45" s="122"/>
      <c r="L45" s="122"/>
      <c r="M45" s="122"/>
      <c r="N45" s="122"/>
      <c r="O45" s="123"/>
      <c r="P45" s="120"/>
      <c r="Q45" s="120"/>
      <c r="R45" s="120"/>
      <c r="S45" s="120"/>
      <c r="T45" s="120"/>
      <c r="U45" s="120"/>
      <c r="V45" s="121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3"/>
      <c r="AX45" s="120"/>
      <c r="AY45" s="120"/>
      <c r="AZ45" s="120"/>
      <c r="BA45" s="120"/>
      <c r="BB45" s="120"/>
      <c r="BC45" s="120"/>
      <c r="BD45" s="120"/>
      <c r="BE45" s="120"/>
      <c r="BF45" s="121"/>
      <c r="BG45" s="122"/>
      <c r="BH45" s="122"/>
      <c r="BI45" s="122"/>
    </row>
    <row r="47" spans="2:61" ht="15" thickBot="1"/>
    <row r="48" spans="2:61" ht="15" thickBot="1">
      <c r="B48" t="s">
        <v>526</v>
      </c>
      <c r="G48" s="122"/>
      <c r="H48" s="122"/>
      <c r="I48" s="122"/>
      <c r="J48" s="122"/>
      <c r="K48" s="123"/>
      <c r="L48" s="120"/>
      <c r="M48" s="120"/>
      <c r="N48" s="120"/>
      <c r="O48" s="121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3"/>
      <c r="AT48" s="120"/>
      <c r="AU48" s="120"/>
      <c r="AV48" s="120"/>
      <c r="AW48" s="121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</row>
    <row r="49" spans="2:61">
      <c r="B49" t="s">
        <v>527</v>
      </c>
    </row>
    <row r="50" spans="2:61" ht="15" thickBot="1"/>
    <row r="51" spans="2:61" ht="15" thickBot="1">
      <c r="B51" t="s">
        <v>525</v>
      </c>
      <c r="G51" s="122"/>
      <c r="H51" s="122"/>
      <c r="I51" s="122"/>
      <c r="J51" s="122"/>
      <c r="K51" s="124"/>
      <c r="L51" s="124"/>
      <c r="M51" s="124"/>
      <c r="N51" s="124"/>
      <c r="O51" s="124"/>
      <c r="P51" s="124"/>
      <c r="Q51" s="124"/>
      <c r="R51" s="125"/>
      <c r="S51" s="126"/>
      <c r="T51" s="126"/>
      <c r="U51" s="126"/>
      <c r="V51" s="121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4"/>
      <c r="AT51" s="124"/>
      <c r="AU51" s="124"/>
      <c r="AV51" s="124"/>
      <c r="AW51" s="124"/>
      <c r="AX51" s="124"/>
      <c r="AY51" s="124"/>
      <c r="AZ51" s="125"/>
      <c r="BA51" s="126"/>
      <c r="BB51" s="126"/>
      <c r="BC51" s="126"/>
      <c r="BD51" s="126"/>
      <c r="BE51" s="126"/>
      <c r="BF51" s="121"/>
      <c r="BG51" s="122"/>
      <c r="BH51" s="122"/>
      <c r="BI51" s="122"/>
    </row>
    <row r="52" spans="2:61">
      <c r="B52" t="s">
        <v>536</v>
      </c>
    </row>
    <row r="54" spans="2:61">
      <c r="P54" s="43"/>
      <c r="Q54" t="s">
        <v>538</v>
      </c>
      <c r="AN54" s="43"/>
      <c r="AO54" t="s">
        <v>539</v>
      </c>
      <c r="AV54" s="43"/>
      <c r="AW54" t="s">
        <v>540</v>
      </c>
    </row>
    <row r="55" spans="2:61" ht="15" thickBot="1"/>
    <row r="56" spans="2:61" ht="15" thickBot="1">
      <c r="B56" t="s">
        <v>185</v>
      </c>
      <c r="G56" s="120"/>
      <c r="H56" s="120"/>
      <c r="I56" s="120"/>
      <c r="J56" s="120"/>
      <c r="K56" s="120"/>
      <c r="L56" s="120"/>
      <c r="M56" s="120"/>
      <c r="N56" s="120"/>
      <c r="O56" s="121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3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1"/>
      <c r="AX56" s="122"/>
      <c r="AY56" s="122"/>
      <c r="AZ56" s="122"/>
      <c r="BA56" s="122"/>
      <c r="BB56" s="122"/>
      <c r="BC56" s="122"/>
      <c r="BD56" s="122"/>
      <c r="BE56" s="122"/>
      <c r="BF56" s="123"/>
      <c r="BG56" s="120"/>
      <c r="BH56" s="120"/>
      <c r="BI56" s="120"/>
    </row>
    <row r="58" spans="2:61" ht="15" thickBot="1">
      <c r="Q58" t="s">
        <v>531</v>
      </c>
    </row>
    <row r="59" spans="2:61" ht="15" thickBot="1">
      <c r="B59" t="s">
        <v>533</v>
      </c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3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1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</row>
    <row r="61" spans="2:61" ht="15" thickBot="1"/>
    <row r="62" spans="2:61" ht="15" thickBot="1">
      <c r="B62" t="s">
        <v>527</v>
      </c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1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3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</row>
    <row r="64" spans="2:61" ht="15" thickBot="1"/>
    <row r="65" spans="2:61" ht="15" thickBot="1">
      <c r="B65" t="s">
        <v>523</v>
      </c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  <c r="BA65" s="120"/>
      <c r="BB65" s="120"/>
      <c r="BC65" s="120"/>
      <c r="BD65" s="120"/>
      <c r="BE65" s="120"/>
      <c r="BF65" s="121"/>
      <c r="BG65" s="122"/>
      <c r="BH65" s="122"/>
      <c r="BI65" s="122"/>
    </row>
    <row r="67" spans="2:61" ht="15" thickBot="1"/>
    <row r="68" spans="2:61" ht="15" thickBot="1">
      <c r="B68" t="s">
        <v>524</v>
      </c>
      <c r="G68" s="122"/>
      <c r="H68" s="122"/>
      <c r="I68" s="122"/>
      <c r="J68" s="122"/>
      <c r="K68" s="122"/>
      <c r="L68" s="122"/>
      <c r="M68" s="122"/>
      <c r="N68" s="122"/>
      <c r="O68" s="123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1"/>
    </row>
    <row r="70" spans="2:61" ht="15" thickBot="1"/>
    <row r="71" spans="2:61" ht="15" thickBot="1">
      <c r="B71" s="5" t="s">
        <v>528</v>
      </c>
      <c r="G71" s="122"/>
      <c r="H71" s="122"/>
      <c r="I71" s="122"/>
      <c r="J71" s="122"/>
      <c r="K71" s="122"/>
      <c r="L71" s="122"/>
      <c r="M71" s="122"/>
      <c r="N71" s="122"/>
      <c r="O71" s="123"/>
      <c r="P71" s="120"/>
      <c r="Q71" s="121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3"/>
      <c r="AX71" s="120"/>
      <c r="AY71" s="120"/>
      <c r="AZ71" s="120"/>
      <c r="BA71" s="120"/>
      <c r="BB71" s="120"/>
      <c r="BC71" s="120"/>
      <c r="BD71" s="120"/>
      <c r="BE71" s="120"/>
      <c r="BF71" s="121"/>
      <c r="BG71" s="122"/>
      <c r="BH71" s="122"/>
      <c r="BI71" s="122"/>
    </row>
    <row r="73" spans="2:61" ht="15" thickBot="1"/>
    <row r="74" spans="2:61" ht="15" thickBot="1">
      <c r="B74" t="s">
        <v>526</v>
      </c>
      <c r="G74" s="122"/>
      <c r="H74" s="122"/>
      <c r="I74" s="122"/>
      <c r="J74" s="122"/>
      <c r="K74" s="123"/>
      <c r="L74" s="120"/>
      <c r="M74" s="120"/>
      <c r="N74" s="120"/>
      <c r="O74" s="121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3"/>
      <c r="AT74" s="120"/>
      <c r="AU74" s="120"/>
      <c r="AV74" s="120"/>
      <c r="AW74" s="121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</row>
    <row r="75" spans="2:61">
      <c r="B75" t="s">
        <v>527</v>
      </c>
    </row>
    <row r="76" spans="2:61" ht="15" thickBot="1"/>
    <row r="77" spans="2:61" ht="15" thickBot="1">
      <c r="B77" t="s">
        <v>525</v>
      </c>
      <c r="G77" s="122"/>
      <c r="H77" s="122"/>
      <c r="I77" s="122"/>
      <c r="J77" s="122"/>
      <c r="K77" s="124"/>
      <c r="L77" s="124"/>
      <c r="M77" s="124"/>
      <c r="N77" s="124"/>
      <c r="O77" s="124"/>
      <c r="P77" s="124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4"/>
      <c r="AT77" s="124"/>
      <c r="AU77" s="124"/>
      <c r="AV77" s="124"/>
      <c r="AW77" s="124"/>
      <c r="AX77" s="124"/>
      <c r="AY77" s="124"/>
      <c r="AZ77" s="125"/>
      <c r="BA77" s="126"/>
      <c r="BB77" s="126"/>
      <c r="BC77" s="126"/>
      <c r="BD77" s="126"/>
      <c r="BE77" s="126"/>
      <c r="BF77" s="121"/>
      <c r="BG77" s="122"/>
      <c r="BH77" s="122"/>
      <c r="BI77" s="122"/>
    </row>
    <row r="78" spans="2:61">
      <c r="B78" t="s">
        <v>536</v>
      </c>
    </row>
    <row r="79" spans="2:61">
      <c r="L79" s="43"/>
      <c r="M79" t="s">
        <v>538</v>
      </c>
      <c r="AJ79" s="43"/>
      <c r="AK79" t="s">
        <v>539</v>
      </c>
      <c r="AV79" s="43"/>
      <c r="AW79" t="s">
        <v>540</v>
      </c>
    </row>
    <row r="80" spans="2:61" ht="15" thickBot="1"/>
    <row r="81" spans="2:61" ht="15" thickBot="1">
      <c r="B81" t="s">
        <v>185</v>
      </c>
      <c r="G81" s="120"/>
      <c r="H81" s="120"/>
      <c r="I81" s="120"/>
      <c r="J81" s="120"/>
      <c r="K81" s="120"/>
      <c r="L81" s="120"/>
      <c r="M81" s="120"/>
      <c r="N81" s="120"/>
      <c r="O81" s="121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3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1"/>
      <c r="AX81" s="122"/>
      <c r="AY81" s="122"/>
      <c r="AZ81" s="122"/>
      <c r="BA81" s="122"/>
      <c r="BB81" s="122"/>
      <c r="BC81" s="122"/>
      <c r="BD81" s="122"/>
      <c r="BE81" s="122"/>
      <c r="BF81" s="123"/>
      <c r="BG81" s="120"/>
      <c r="BH81" s="120"/>
      <c r="BI81" s="120"/>
    </row>
    <row r="83" spans="2:61" ht="15" thickBot="1">
      <c r="M83" t="s">
        <v>532</v>
      </c>
    </row>
    <row r="84" spans="2:61" ht="15" thickBot="1">
      <c r="B84" t="s">
        <v>533</v>
      </c>
      <c r="G84" s="122"/>
      <c r="H84" s="122"/>
      <c r="I84" s="122"/>
      <c r="J84" s="122"/>
      <c r="K84" s="122"/>
      <c r="L84" s="122"/>
      <c r="M84" s="123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1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</row>
    <row r="86" spans="2:61" ht="15" thickBot="1"/>
    <row r="87" spans="2:61" ht="15" thickBot="1">
      <c r="B87" t="s">
        <v>527</v>
      </c>
      <c r="G87" s="120"/>
      <c r="H87" s="120"/>
      <c r="I87" s="120"/>
      <c r="J87" s="120"/>
      <c r="K87" s="120"/>
      <c r="L87" s="120"/>
      <c r="M87" s="121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3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</row>
    <row r="89" spans="2:61" ht="15" thickBot="1"/>
    <row r="90" spans="2:61" ht="15" thickBot="1">
      <c r="B90" t="s">
        <v>523</v>
      </c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  <c r="BA90" s="120"/>
      <c r="BB90" s="120"/>
      <c r="BC90" s="120"/>
      <c r="BD90" s="120"/>
      <c r="BE90" s="120"/>
      <c r="BF90" s="121"/>
      <c r="BG90" s="122"/>
      <c r="BH90" s="122"/>
      <c r="BI90" s="122"/>
    </row>
    <row r="92" spans="2:61" ht="15" thickBot="1"/>
    <row r="93" spans="2:61" ht="15" thickBot="1">
      <c r="B93" t="s">
        <v>524</v>
      </c>
      <c r="G93" s="122"/>
      <c r="H93" s="122"/>
      <c r="I93" s="122"/>
      <c r="J93" s="122"/>
      <c r="K93" s="122"/>
      <c r="L93" s="122"/>
      <c r="M93" s="122"/>
      <c r="N93" s="122"/>
      <c r="O93" s="123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1"/>
    </row>
    <row r="95" spans="2:61" ht="15" thickBot="1"/>
    <row r="96" spans="2:61" ht="15" thickBot="1">
      <c r="B96" s="5" t="s">
        <v>528</v>
      </c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3"/>
      <c r="AX96" s="120"/>
      <c r="AY96" s="120"/>
      <c r="AZ96" s="120"/>
      <c r="BA96" s="120"/>
      <c r="BB96" s="120"/>
      <c r="BC96" s="120"/>
      <c r="BD96" s="120"/>
      <c r="BE96" s="120"/>
      <c r="BF96" s="121"/>
      <c r="BG96" s="122"/>
      <c r="BH96" s="122"/>
      <c r="BI96" s="122"/>
    </row>
    <row r="98" spans="2:61" ht="15" thickBot="1"/>
    <row r="99" spans="2:61" ht="15" thickBot="1">
      <c r="B99" t="s">
        <v>526</v>
      </c>
      <c r="G99" s="122"/>
      <c r="H99" s="122"/>
      <c r="I99" s="122"/>
      <c r="J99" s="122"/>
      <c r="K99" s="123"/>
      <c r="L99" s="120"/>
      <c r="M99" s="120"/>
      <c r="N99" s="120"/>
      <c r="O99" s="121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3"/>
      <c r="AT99" s="120"/>
      <c r="AU99" s="120"/>
      <c r="AV99" s="120"/>
      <c r="AW99" s="121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  <c r="BH99" s="122"/>
      <c r="BI99" s="122"/>
    </row>
    <row r="100" spans="2:61">
      <c r="B100" t="s">
        <v>527</v>
      </c>
    </row>
    <row r="101" spans="2:61" ht="15" thickBot="1"/>
    <row r="102" spans="2:61" ht="15" thickBot="1">
      <c r="B102" t="s">
        <v>525</v>
      </c>
      <c r="G102" s="122"/>
      <c r="H102" s="122"/>
      <c r="I102" s="122"/>
      <c r="J102" s="122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5"/>
      <c r="BA102" s="126"/>
      <c r="BB102" s="126"/>
      <c r="BC102" s="126"/>
      <c r="BD102" s="126"/>
      <c r="BE102" s="126"/>
      <c r="BF102" s="121"/>
      <c r="BG102" s="122"/>
      <c r="BH102" s="122"/>
      <c r="BI102" s="122"/>
    </row>
    <row r="103" spans="2:61">
      <c r="B103" t="s">
        <v>536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C113"/>
  <sheetViews>
    <sheetView zoomScale="125" zoomScaleNormal="125" zoomScalePageLayoutView="125" workbookViewId="0">
      <selection activeCell="AM18" sqref="AM18"/>
    </sheetView>
  </sheetViews>
  <sheetFormatPr defaultColWidth="3" defaultRowHeight="14.4"/>
  <sheetData>
    <row r="2" spans="2:55">
      <c r="AD2" s="43"/>
      <c r="AE2" t="s">
        <v>538</v>
      </c>
      <c r="AK2" s="43"/>
      <c r="AL2" t="s">
        <v>539</v>
      </c>
      <c r="AP2" s="43"/>
      <c r="AQ2" t="s">
        <v>540</v>
      </c>
    </row>
    <row r="3" spans="2:55" ht="15" thickBot="1"/>
    <row r="4" spans="2:55" ht="15" thickBot="1">
      <c r="B4" t="s">
        <v>185</v>
      </c>
      <c r="G4" s="120"/>
      <c r="H4" s="120"/>
      <c r="I4" s="120"/>
      <c r="J4" s="120"/>
      <c r="K4" s="120"/>
      <c r="L4" s="121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3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1"/>
      <c r="AR4" s="122"/>
      <c r="AS4" s="122"/>
      <c r="AT4" s="122"/>
      <c r="AU4" s="122"/>
      <c r="AV4" s="122"/>
      <c r="AW4" s="122"/>
      <c r="AX4" s="122"/>
      <c r="AY4" s="122"/>
      <c r="AZ4" s="123"/>
      <c r="BA4" s="120"/>
      <c r="BB4" s="120"/>
      <c r="BC4" s="120"/>
    </row>
    <row r="6" spans="2:55" ht="15" thickBot="1">
      <c r="AE6" t="s">
        <v>529</v>
      </c>
    </row>
    <row r="7" spans="2:55" ht="15" thickBot="1">
      <c r="B7" t="s">
        <v>533</v>
      </c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3"/>
      <c r="AF7" s="120"/>
      <c r="AG7" s="120"/>
      <c r="AH7" s="120"/>
      <c r="AI7" s="120"/>
      <c r="AJ7" s="120"/>
      <c r="AK7" s="120"/>
      <c r="AL7" s="121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9" spans="2:55" ht="15" thickBot="1"/>
    <row r="10" spans="2:55" ht="15" thickBot="1">
      <c r="B10" t="s">
        <v>527</v>
      </c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1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3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</row>
    <row r="12" spans="2:55" ht="15" thickBot="1"/>
    <row r="13" spans="2:55" ht="15" thickBot="1">
      <c r="B13" t="s">
        <v>523</v>
      </c>
      <c r="G13" s="122"/>
      <c r="H13" s="122"/>
      <c r="I13" s="122"/>
      <c r="J13" s="122"/>
      <c r="K13" s="122"/>
      <c r="L13" s="122"/>
      <c r="M13" s="122"/>
      <c r="N13" s="122"/>
      <c r="O13" s="123"/>
      <c r="P13" s="120"/>
      <c r="Q13" s="120"/>
      <c r="R13" s="120"/>
      <c r="S13" s="120"/>
      <c r="T13" s="120"/>
      <c r="U13" s="120"/>
      <c r="V13" s="120"/>
      <c r="W13" s="120"/>
      <c r="X13" s="120"/>
      <c r="Y13" s="121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3"/>
      <c r="AU13" s="120"/>
      <c r="AV13" s="120"/>
      <c r="AW13" s="120"/>
      <c r="AX13" s="120"/>
      <c r="AY13" s="120"/>
      <c r="AZ13" s="121"/>
      <c r="BA13" s="122"/>
      <c r="BB13" s="122"/>
      <c r="BC13" s="122"/>
    </row>
    <row r="15" spans="2:55" ht="15" thickBot="1"/>
    <row r="16" spans="2:55" ht="15" thickBot="1">
      <c r="B16" t="s">
        <v>524</v>
      </c>
      <c r="G16" s="122"/>
      <c r="H16" s="122"/>
      <c r="I16" s="122"/>
      <c r="J16" s="122"/>
      <c r="K16" s="122"/>
      <c r="L16" s="123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1"/>
      <c r="AC16" s="122"/>
      <c r="AD16" s="122"/>
      <c r="AE16" s="123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1"/>
    </row>
    <row r="18" spans="2:55" ht="15" thickBot="1"/>
    <row r="19" spans="2:55" ht="15" thickBot="1">
      <c r="B19" t="s">
        <v>534</v>
      </c>
      <c r="G19" s="120"/>
      <c r="H19" s="120"/>
      <c r="I19" s="120"/>
      <c r="J19" s="120"/>
      <c r="K19" s="120"/>
      <c r="L19" s="121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3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1"/>
      <c r="AR19" s="122"/>
      <c r="AS19" s="122"/>
      <c r="AT19" s="122"/>
      <c r="AU19" s="122"/>
      <c r="AV19" s="122"/>
      <c r="AW19" s="122"/>
      <c r="AX19" s="122"/>
      <c r="AY19" s="122"/>
      <c r="AZ19" s="123"/>
      <c r="BA19" s="120"/>
      <c r="BB19" s="120"/>
      <c r="BC19" s="120"/>
    </row>
    <row r="20" spans="2:55">
      <c r="B20" t="s">
        <v>535</v>
      </c>
    </row>
    <row r="21" spans="2:55" ht="15" thickBot="1"/>
    <row r="22" spans="2:55" ht="15" thickBot="1">
      <c r="B22" t="s">
        <v>525</v>
      </c>
      <c r="G22" s="122"/>
      <c r="H22" s="122"/>
      <c r="I22" s="122"/>
      <c r="J22" s="122"/>
      <c r="K22" s="122"/>
      <c r="L22" s="124"/>
      <c r="M22" s="124"/>
      <c r="N22" s="124"/>
      <c r="O22" s="125"/>
      <c r="P22" s="126"/>
      <c r="Q22" s="126"/>
      <c r="R22" s="126"/>
      <c r="S22" s="126"/>
      <c r="T22" s="126"/>
      <c r="U22" s="126"/>
      <c r="V22" s="126"/>
      <c r="W22" s="126"/>
      <c r="X22" s="127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4"/>
      <c r="AR22" s="124"/>
      <c r="AS22" s="124"/>
      <c r="AT22" s="125"/>
      <c r="AU22" s="126"/>
      <c r="AV22" s="126"/>
      <c r="AW22" s="126"/>
      <c r="AX22" s="126"/>
      <c r="AY22" s="127"/>
      <c r="AZ22" s="122"/>
      <c r="BA22" s="122"/>
      <c r="BB22" s="122"/>
      <c r="BC22" s="122"/>
    </row>
    <row r="23" spans="2:55">
      <c r="B23" t="s">
        <v>537</v>
      </c>
    </row>
    <row r="25" spans="2:55">
      <c r="R25" s="43"/>
      <c r="S25" t="s">
        <v>538</v>
      </c>
      <c r="AK25" s="43"/>
      <c r="AL25" t="s">
        <v>539</v>
      </c>
      <c r="AP25" s="43"/>
      <c r="AQ25" t="s">
        <v>540</v>
      </c>
    </row>
    <row r="26" spans="2:55" ht="15" thickBot="1"/>
    <row r="27" spans="2:55" ht="15" thickBot="1">
      <c r="B27" t="s">
        <v>185</v>
      </c>
      <c r="G27" s="120"/>
      <c r="H27" s="120"/>
      <c r="I27" s="120"/>
      <c r="J27" s="120"/>
      <c r="K27" s="120"/>
      <c r="L27" s="121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3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1"/>
      <c r="AR27" s="122"/>
      <c r="AS27" s="122"/>
      <c r="AT27" s="122"/>
      <c r="AU27" s="122"/>
      <c r="AV27" s="122"/>
      <c r="AW27" s="122"/>
      <c r="AX27" s="122"/>
      <c r="AY27" s="122"/>
      <c r="AZ27" s="123"/>
      <c r="BA27" s="120"/>
      <c r="BB27" s="120"/>
      <c r="BC27" s="120"/>
    </row>
    <row r="29" spans="2:55" ht="15" thickBot="1">
      <c r="S29" t="s">
        <v>530</v>
      </c>
    </row>
    <row r="30" spans="2:55" ht="15" thickBot="1">
      <c r="B30" t="s">
        <v>533</v>
      </c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3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1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2" spans="2:55" ht="15" thickBot="1"/>
    <row r="33" spans="2:55" ht="15" thickBot="1">
      <c r="B33" t="s">
        <v>527</v>
      </c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1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3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</row>
    <row r="35" spans="2:55" ht="15" thickBot="1"/>
    <row r="36" spans="2:55" ht="15" thickBot="1">
      <c r="B36" t="s">
        <v>523</v>
      </c>
      <c r="G36" s="122"/>
      <c r="H36" s="122"/>
      <c r="I36" s="122"/>
      <c r="J36" s="122"/>
      <c r="K36" s="122"/>
      <c r="L36" s="122"/>
      <c r="M36" s="122"/>
      <c r="N36" s="122"/>
      <c r="O36" s="123"/>
      <c r="P36" s="120"/>
      <c r="Q36" s="120"/>
      <c r="R36" s="120"/>
      <c r="S36" s="121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3"/>
      <c r="AU36" s="120"/>
      <c r="AV36" s="120"/>
      <c r="AW36" s="120"/>
      <c r="AX36" s="120"/>
      <c r="AY36" s="120"/>
      <c r="AZ36" s="121"/>
      <c r="BA36" s="122"/>
      <c r="BB36" s="122"/>
      <c r="BC36" s="122"/>
    </row>
    <row r="38" spans="2:55" ht="15" thickBot="1"/>
    <row r="39" spans="2:55" ht="15" thickBot="1">
      <c r="B39" t="s">
        <v>524</v>
      </c>
      <c r="G39" s="122"/>
      <c r="H39" s="122"/>
      <c r="I39" s="122"/>
      <c r="J39" s="122"/>
      <c r="K39" s="122"/>
      <c r="L39" s="123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1"/>
    </row>
    <row r="41" spans="2:55" ht="15" thickBot="1"/>
    <row r="42" spans="2:55" ht="15" thickBot="1">
      <c r="B42" t="s">
        <v>534</v>
      </c>
      <c r="G42" s="120"/>
      <c r="H42" s="120"/>
      <c r="I42" s="120"/>
      <c r="J42" s="120"/>
      <c r="K42" s="120"/>
      <c r="L42" s="121"/>
      <c r="M42" s="122"/>
      <c r="N42" s="122"/>
      <c r="O42" s="122"/>
      <c r="P42" s="122"/>
      <c r="Q42" s="122"/>
      <c r="R42" s="122"/>
      <c r="S42" s="123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1"/>
      <c r="AR42" s="122"/>
      <c r="AS42" s="122"/>
      <c r="AT42" s="122"/>
      <c r="AU42" s="122"/>
      <c r="AV42" s="122"/>
      <c r="AW42" s="122"/>
      <c r="AX42" s="122"/>
      <c r="AY42" s="122"/>
      <c r="AZ42" s="123"/>
      <c r="BA42" s="120"/>
      <c r="BB42" s="120"/>
      <c r="BC42" s="120"/>
    </row>
    <row r="43" spans="2:55">
      <c r="B43" t="s">
        <v>535</v>
      </c>
    </row>
    <row r="44" spans="2:55" ht="15" thickBot="1"/>
    <row r="45" spans="2:55" ht="15" thickBot="1">
      <c r="B45" t="s">
        <v>525</v>
      </c>
      <c r="G45" s="122"/>
      <c r="H45" s="122"/>
      <c r="I45" s="122"/>
      <c r="J45" s="122"/>
      <c r="K45" s="122"/>
      <c r="L45" s="124"/>
      <c r="M45" s="124"/>
      <c r="N45" s="124"/>
      <c r="O45" s="125"/>
      <c r="P45" s="126"/>
      <c r="Q45" s="126"/>
      <c r="R45" s="127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4"/>
      <c r="AR45" s="124"/>
      <c r="AS45" s="124"/>
      <c r="AT45" s="125"/>
      <c r="AU45" s="126"/>
      <c r="AV45" s="126"/>
      <c r="AW45" s="126"/>
      <c r="AX45" s="126"/>
      <c r="AY45" s="127"/>
      <c r="AZ45" s="122"/>
      <c r="BA45" s="122"/>
      <c r="BB45" s="122"/>
      <c r="BC45" s="122"/>
    </row>
    <row r="46" spans="2:55">
      <c r="B46" t="s">
        <v>537</v>
      </c>
    </row>
    <row r="48" spans="2:55">
      <c r="P48" s="43"/>
      <c r="Q48" t="s">
        <v>538</v>
      </c>
      <c r="V48" s="43"/>
      <c r="W48" t="s">
        <v>539</v>
      </c>
      <c r="AP48" s="43"/>
      <c r="AQ48" t="s">
        <v>540</v>
      </c>
    </row>
    <row r="49" spans="2:55" ht="15" thickBot="1"/>
    <row r="50" spans="2:55" ht="15" thickBot="1">
      <c r="B50" t="s">
        <v>185</v>
      </c>
      <c r="G50" s="120"/>
      <c r="H50" s="120"/>
      <c r="I50" s="120"/>
      <c r="J50" s="120"/>
      <c r="K50" s="120"/>
      <c r="L50" s="121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3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1"/>
      <c r="AR50" s="122"/>
      <c r="AS50" s="122"/>
      <c r="AT50" s="122"/>
      <c r="AU50" s="122"/>
      <c r="AV50" s="122"/>
      <c r="AW50" s="122"/>
      <c r="AX50" s="122"/>
      <c r="AY50" s="122"/>
      <c r="AZ50" s="123"/>
      <c r="BA50" s="120"/>
      <c r="BB50" s="120"/>
      <c r="BC50" s="120"/>
    </row>
    <row r="52" spans="2:55" ht="15" thickBot="1">
      <c r="Q52" t="s">
        <v>530</v>
      </c>
    </row>
    <row r="53" spans="2:55" ht="15" thickBot="1">
      <c r="B53" t="s">
        <v>533</v>
      </c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0"/>
      <c r="S53" s="120"/>
      <c r="T53" s="120"/>
      <c r="U53" s="120"/>
      <c r="V53" s="120"/>
      <c r="W53" s="121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5" spans="2:55" ht="15" thickBot="1"/>
    <row r="56" spans="2:55" ht="15" thickBot="1">
      <c r="B56" t="s">
        <v>527</v>
      </c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1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3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</row>
    <row r="58" spans="2:55" ht="15" thickBot="1"/>
    <row r="59" spans="2:55" ht="15" thickBot="1">
      <c r="B59" t="s">
        <v>523</v>
      </c>
      <c r="G59" s="122"/>
      <c r="H59" s="122"/>
      <c r="I59" s="122"/>
      <c r="J59" s="122"/>
      <c r="K59" s="122"/>
      <c r="L59" s="122"/>
      <c r="M59" s="122"/>
      <c r="N59" s="122"/>
      <c r="O59" s="123"/>
      <c r="P59" s="120"/>
      <c r="Q59" s="121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3"/>
      <c r="AU59" s="120"/>
      <c r="AV59" s="120"/>
      <c r="AW59" s="120"/>
      <c r="AX59" s="120"/>
      <c r="AY59" s="120"/>
      <c r="AZ59" s="121"/>
      <c r="BA59" s="122"/>
      <c r="BB59" s="122"/>
      <c r="BC59" s="122"/>
    </row>
    <row r="61" spans="2:55" ht="15" thickBot="1"/>
    <row r="62" spans="2:55" ht="15" thickBot="1">
      <c r="B62" t="s">
        <v>524</v>
      </c>
      <c r="G62" s="122"/>
      <c r="H62" s="122"/>
      <c r="I62" s="122"/>
      <c r="J62" s="122"/>
      <c r="K62" s="122"/>
      <c r="L62" s="123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1"/>
    </row>
    <row r="64" spans="2:55" ht="15" thickBot="1"/>
    <row r="65" spans="2:55" ht="15" thickBot="1">
      <c r="B65" t="s">
        <v>534</v>
      </c>
      <c r="G65" s="120"/>
      <c r="H65" s="120"/>
      <c r="I65" s="120"/>
      <c r="J65" s="120"/>
      <c r="K65" s="120"/>
      <c r="L65" s="121"/>
      <c r="M65" s="122"/>
      <c r="N65" s="122"/>
      <c r="O65" s="122"/>
      <c r="P65" s="122"/>
      <c r="Q65" s="123"/>
      <c r="R65" s="120"/>
      <c r="S65" s="120"/>
      <c r="T65" s="120"/>
      <c r="U65" s="120"/>
      <c r="V65" s="120"/>
      <c r="W65" s="121"/>
      <c r="X65" s="122"/>
      <c r="Y65" s="123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1"/>
      <c r="AR65" s="122"/>
      <c r="AS65" s="122"/>
      <c r="AT65" s="122"/>
      <c r="AU65" s="122"/>
      <c r="AV65" s="122"/>
      <c r="AW65" s="122"/>
      <c r="AX65" s="122"/>
      <c r="AY65" s="122"/>
      <c r="AZ65" s="123"/>
      <c r="BA65" s="120"/>
      <c r="BB65" s="120"/>
      <c r="BC65" s="120"/>
    </row>
    <row r="66" spans="2:55">
      <c r="B66" t="s">
        <v>535</v>
      </c>
    </row>
    <row r="67" spans="2:55" ht="15" thickBot="1"/>
    <row r="68" spans="2:55" ht="15" thickBot="1">
      <c r="B68" t="s">
        <v>525</v>
      </c>
      <c r="G68" s="122"/>
      <c r="H68" s="122"/>
      <c r="I68" s="122"/>
      <c r="J68" s="122"/>
      <c r="K68" s="122"/>
      <c r="L68" s="124"/>
      <c r="M68" s="124"/>
      <c r="N68" s="124"/>
      <c r="O68" s="125"/>
      <c r="P68" s="127"/>
      <c r="Q68" s="122"/>
      <c r="R68" s="122"/>
      <c r="S68" s="122"/>
      <c r="T68" s="122"/>
      <c r="U68" s="122"/>
      <c r="V68" s="122"/>
      <c r="W68" s="124"/>
      <c r="X68" s="124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4"/>
      <c r="AR68" s="124"/>
      <c r="AS68" s="124"/>
      <c r="AT68" s="125"/>
      <c r="AU68" s="126"/>
      <c r="AV68" s="126"/>
      <c r="AW68" s="126"/>
      <c r="AX68" s="126"/>
      <c r="AY68" s="126"/>
      <c r="AZ68" s="121"/>
      <c r="BA68" s="122"/>
      <c r="BB68" s="122"/>
      <c r="BC68" s="122"/>
    </row>
    <row r="69" spans="2:55">
      <c r="B69" t="s">
        <v>537</v>
      </c>
    </row>
    <row r="70" spans="2:55">
      <c r="M70" s="43"/>
      <c r="N70" t="s">
        <v>538</v>
      </c>
      <c r="AK70" s="43"/>
      <c r="AL70" t="s">
        <v>539</v>
      </c>
      <c r="AP70" s="43"/>
      <c r="AQ70" t="s">
        <v>540</v>
      </c>
    </row>
    <row r="71" spans="2:55" ht="15" thickBot="1"/>
    <row r="72" spans="2:55" ht="15" thickBot="1">
      <c r="B72" t="s">
        <v>185</v>
      </c>
      <c r="G72" s="120"/>
      <c r="H72" s="120"/>
      <c r="I72" s="120"/>
      <c r="J72" s="120"/>
      <c r="K72" s="120"/>
      <c r="L72" s="121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3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1"/>
      <c r="AR72" s="122"/>
      <c r="AS72" s="122"/>
      <c r="AT72" s="122"/>
      <c r="AU72" s="122"/>
      <c r="AV72" s="122"/>
      <c r="AW72" s="122"/>
      <c r="AX72" s="122"/>
      <c r="AY72" s="122"/>
      <c r="AZ72" s="123"/>
      <c r="BA72" s="120"/>
      <c r="BB72" s="120"/>
      <c r="BC72" s="120"/>
    </row>
    <row r="74" spans="2:55" ht="15" thickBot="1">
      <c r="N74" t="s">
        <v>531</v>
      </c>
    </row>
    <row r="75" spans="2:55" ht="15" thickBot="1">
      <c r="B75" t="s">
        <v>533</v>
      </c>
      <c r="G75" s="122"/>
      <c r="H75" s="122"/>
      <c r="I75" s="122"/>
      <c r="J75" s="122"/>
      <c r="K75" s="122"/>
      <c r="L75" s="122"/>
      <c r="M75" s="122"/>
      <c r="N75" s="123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1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</row>
    <row r="77" spans="2:55" ht="15" thickBot="1"/>
    <row r="78" spans="2:55" ht="15" thickBot="1">
      <c r="B78" t="s">
        <v>527</v>
      </c>
      <c r="G78" s="120"/>
      <c r="H78" s="120"/>
      <c r="I78" s="120"/>
      <c r="J78" s="120"/>
      <c r="K78" s="120"/>
      <c r="L78" s="120"/>
      <c r="M78" s="120"/>
      <c r="N78" s="121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3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</row>
    <row r="80" spans="2:55" ht="15" thickBot="1"/>
    <row r="81" spans="2:55" ht="15" thickBot="1">
      <c r="B81" t="s">
        <v>523</v>
      </c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3"/>
      <c r="AU81" s="120"/>
      <c r="AV81" s="120"/>
      <c r="AW81" s="120"/>
      <c r="AX81" s="120"/>
      <c r="AY81" s="120"/>
      <c r="AZ81" s="121"/>
      <c r="BA81" s="122"/>
      <c r="BB81" s="122"/>
      <c r="BC81" s="122"/>
    </row>
    <row r="83" spans="2:55" ht="15" thickBot="1"/>
    <row r="84" spans="2:55" ht="15" thickBot="1">
      <c r="B84" t="s">
        <v>524</v>
      </c>
      <c r="G84" s="122"/>
      <c r="H84" s="122"/>
      <c r="I84" s="122"/>
      <c r="J84" s="122"/>
      <c r="K84" s="122"/>
      <c r="L84" s="123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1"/>
    </row>
    <row r="86" spans="2:55" ht="15" thickBot="1"/>
    <row r="87" spans="2:55" ht="15" thickBot="1">
      <c r="B87" t="s">
        <v>534</v>
      </c>
      <c r="G87" s="120"/>
      <c r="H87" s="120"/>
      <c r="I87" s="120"/>
      <c r="J87" s="120"/>
      <c r="K87" s="120"/>
      <c r="L87" s="121"/>
      <c r="M87" s="122"/>
      <c r="N87" s="123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1"/>
      <c r="AR87" s="122"/>
      <c r="AS87" s="122"/>
      <c r="AT87" s="122"/>
      <c r="AU87" s="122"/>
      <c r="AV87" s="122"/>
      <c r="AW87" s="122"/>
      <c r="AX87" s="122"/>
      <c r="AY87" s="122"/>
      <c r="AZ87" s="123"/>
      <c r="BA87" s="120"/>
      <c r="BB87" s="120"/>
      <c r="BC87" s="120"/>
    </row>
    <row r="88" spans="2:55">
      <c r="B88" t="s">
        <v>535</v>
      </c>
    </row>
    <row r="89" spans="2:55" ht="15" thickBot="1"/>
    <row r="90" spans="2:55" ht="15" thickBot="1">
      <c r="B90" t="s">
        <v>525</v>
      </c>
      <c r="G90" s="122"/>
      <c r="H90" s="122"/>
      <c r="I90" s="122"/>
      <c r="J90" s="122"/>
      <c r="K90" s="122"/>
      <c r="L90" s="124"/>
      <c r="M90" s="124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4"/>
      <c r="AR90" s="124"/>
      <c r="AS90" s="124"/>
      <c r="AT90" s="125"/>
      <c r="AU90" s="126"/>
      <c r="AV90" s="126"/>
      <c r="AW90" s="126"/>
      <c r="AX90" s="126"/>
      <c r="AY90" s="126"/>
      <c r="AZ90" s="121"/>
      <c r="BA90" s="122"/>
      <c r="BB90" s="122"/>
      <c r="BC90" s="122"/>
    </row>
    <row r="91" spans="2:55">
      <c r="B91" t="s">
        <v>537</v>
      </c>
    </row>
    <row r="92" spans="2:55">
      <c r="I92" s="43"/>
      <c r="J92" t="s">
        <v>538</v>
      </c>
      <c r="AK92" s="43"/>
      <c r="AL92" t="s">
        <v>539</v>
      </c>
      <c r="AP92" s="43"/>
      <c r="AQ92" t="s">
        <v>540</v>
      </c>
    </row>
    <row r="93" spans="2:55" ht="15" thickBot="1"/>
    <row r="94" spans="2:55" ht="15" thickBot="1">
      <c r="B94" t="s">
        <v>185</v>
      </c>
      <c r="G94" s="120"/>
      <c r="H94" s="120"/>
      <c r="I94" s="120"/>
      <c r="J94" s="120"/>
      <c r="K94" s="120"/>
      <c r="L94" s="121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3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1"/>
      <c r="AR94" s="122"/>
      <c r="AS94" s="122"/>
      <c r="AT94" s="122"/>
      <c r="AU94" s="122"/>
      <c r="AV94" s="122"/>
      <c r="AW94" s="122"/>
      <c r="AX94" s="122"/>
      <c r="AY94" s="122"/>
      <c r="AZ94" s="123"/>
      <c r="BA94" s="120"/>
      <c r="BB94" s="120"/>
      <c r="BC94" s="120"/>
    </row>
    <row r="96" spans="2:55" ht="15" thickBot="1">
      <c r="J96" t="s">
        <v>532</v>
      </c>
    </row>
    <row r="97" spans="2:55" ht="15" thickBot="1">
      <c r="B97" t="s">
        <v>533</v>
      </c>
      <c r="G97" s="122"/>
      <c r="H97" s="122"/>
      <c r="I97" s="122"/>
      <c r="J97" s="123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1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</row>
    <row r="99" spans="2:55" ht="15" thickBot="1"/>
    <row r="100" spans="2:55" ht="15" thickBot="1">
      <c r="B100" t="s">
        <v>527</v>
      </c>
      <c r="G100" s="120"/>
      <c r="H100" s="120"/>
      <c r="I100" s="120"/>
      <c r="J100" s="121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3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</row>
    <row r="102" spans="2:55" ht="15" thickBot="1"/>
    <row r="103" spans="2:55" ht="15" thickBot="1">
      <c r="B103" t="s">
        <v>523</v>
      </c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3"/>
      <c r="AU103" s="120"/>
      <c r="AV103" s="120"/>
      <c r="AW103" s="120"/>
      <c r="AX103" s="120"/>
      <c r="AY103" s="120"/>
      <c r="AZ103" s="121"/>
      <c r="BA103" s="122"/>
      <c r="BB103" s="122"/>
      <c r="BC103" s="122"/>
    </row>
    <row r="105" spans="2:55" ht="15" thickBot="1"/>
    <row r="106" spans="2:55" ht="15" thickBot="1">
      <c r="B106" t="s">
        <v>524</v>
      </c>
      <c r="G106" s="122"/>
      <c r="H106" s="122"/>
      <c r="I106" s="122"/>
      <c r="J106" s="122"/>
      <c r="K106" s="122"/>
      <c r="L106" s="123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1"/>
    </row>
    <row r="108" spans="2:55" ht="15" thickBot="1"/>
    <row r="109" spans="2:55" ht="15" thickBot="1">
      <c r="B109" t="s">
        <v>534</v>
      </c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1"/>
      <c r="AR109" s="122"/>
      <c r="AS109" s="122"/>
      <c r="AT109" s="122"/>
      <c r="AU109" s="122"/>
      <c r="AV109" s="122"/>
      <c r="AW109" s="122"/>
      <c r="AX109" s="122"/>
      <c r="AY109" s="122"/>
      <c r="AZ109" s="123"/>
      <c r="BA109" s="120"/>
      <c r="BB109" s="120"/>
      <c r="BC109" s="120"/>
    </row>
    <row r="110" spans="2:55">
      <c r="B110" t="s">
        <v>535</v>
      </c>
    </row>
    <row r="111" spans="2:55" ht="15" thickBot="1"/>
    <row r="112" spans="2:55" ht="15" thickBot="1">
      <c r="B112" t="s">
        <v>525</v>
      </c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4"/>
      <c r="AR112" s="124"/>
      <c r="AS112" s="124"/>
      <c r="AT112" s="125"/>
      <c r="AU112" s="126"/>
      <c r="AV112" s="126"/>
      <c r="AW112" s="126"/>
      <c r="AX112" s="126"/>
      <c r="AY112" s="126"/>
      <c r="AZ112" s="121"/>
      <c r="BA112" s="122"/>
      <c r="BB112" s="122"/>
      <c r="BC112" s="122"/>
    </row>
    <row r="113" spans="2:2">
      <c r="B113" t="s">
        <v>537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22"/>
  <sheetViews>
    <sheetView topLeftCell="A40" zoomScale="150" zoomScaleNormal="150" zoomScalePageLayoutView="150" workbookViewId="0">
      <selection activeCell="D31" sqref="D31"/>
    </sheetView>
  </sheetViews>
  <sheetFormatPr defaultColWidth="12.69921875" defaultRowHeight="14.4"/>
  <cols>
    <col min="1" max="8" width="12.69921875" style="7"/>
  </cols>
  <sheetData>
    <row r="1" spans="1:12">
      <c r="A1" s="7" t="s">
        <v>714</v>
      </c>
      <c r="B1" s="7" t="s">
        <v>716</v>
      </c>
      <c r="C1" s="7" t="s">
        <v>710</v>
      </c>
      <c r="E1" s="7" t="s">
        <v>711</v>
      </c>
      <c r="F1" s="7" t="s">
        <v>712</v>
      </c>
      <c r="G1" s="7" t="s">
        <v>713</v>
      </c>
      <c r="H1" s="7" t="s">
        <v>717</v>
      </c>
      <c r="I1" t="s">
        <v>715</v>
      </c>
    </row>
    <row r="2" spans="1:12">
      <c r="A2" s="7">
        <f t="shared" ref="A2:A5" si="0">72*I2</f>
        <v>315</v>
      </c>
      <c r="B2" s="7">
        <f>A2/3</f>
        <v>105</v>
      </c>
      <c r="C2" s="7">
        <f>A2/8</f>
        <v>39.375</v>
      </c>
      <c r="E2" s="7">
        <f>A2/9</f>
        <v>35</v>
      </c>
      <c r="F2" s="7">
        <f>A2/10</f>
        <v>31.5</v>
      </c>
      <c r="G2" s="7">
        <f>A2/12</f>
        <v>26.25</v>
      </c>
      <c r="H2" s="7">
        <f>A2/14</f>
        <v>22.5</v>
      </c>
      <c r="I2">
        <f t="shared" ref="I2:I8" si="1">I4/2</f>
        <v>4.375</v>
      </c>
    </row>
    <row r="3" spans="1:12">
      <c r="A3" s="7">
        <f t="shared" si="0"/>
        <v>450</v>
      </c>
      <c r="B3" s="7">
        <f t="shared" ref="B3:B17" si="2">A3/3</f>
        <v>150</v>
      </c>
      <c r="C3" s="7">
        <f t="shared" ref="C3:C17" si="3">A3/8</f>
        <v>56.25</v>
      </c>
      <c r="E3" s="7">
        <f t="shared" ref="E3:E17" si="4">A3/9</f>
        <v>50</v>
      </c>
      <c r="F3" s="7">
        <f t="shared" ref="F3:F17" si="5">A3/10</f>
        <v>45</v>
      </c>
      <c r="G3" s="7">
        <f t="shared" ref="G3:G17" si="6">A3/12</f>
        <v>37.5</v>
      </c>
      <c r="H3" s="7">
        <f t="shared" ref="H3:H17" si="7">A3/14</f>
        <v>32.142857142857146</v>
      </c>
      <c r="I3">
        <f t="shared" si="1"/>
        <v>6.25</v>
      </c>
    </row>
    <row r="4" spans="1:12">
      <c r="A4" s="7">
        <f t="shared" si="0"/>
        <v>630</v>
      </c>
      <c r="B4" s="7">
        <f t="shared" si="2"/>
        <v>210</v>
      </c>
      <c r="C4" s="7">
        <f t="shared" si="3"/>
        <v>78.75</v>
      </c>
      <c r="E4" s="7">
        <f t="shared" si="4"/>
        <v>70</v>
      </c>
      <c r="F4" s="7">
        <f t="shared" si="5"/>
        <v>63</v>
      </c>
      <c r="G4" s="7">
        <f t="shared" si="6"/>
        <v>52.5</v>
      </c>
      <c r="H4" s="7">
        <f t="shared" si="7"/>
        <v>45</v>
      </c>
      <c r="I4">
        <f t="shared" si="1"/>
        <v>8.75</v>
      </c>
    </row>
    <row r="5" spans="1:12">
      <c r="A5" s="7">
        <f t="shared" si="0"/>
        <v>900</v>
      </c>
      <c r="B5" s="7">
        <f t="shared" si="2"/>
        <v>300</v>
      </c>
      <c r="C5" s="7">
        <f t="shared" si="3"/>
        <v>112.5</v>
      </c>
      <c r="E5" s="7">
        <f t="shared" si="4"/>
        <v>100</v>
      </c>
      <c r="F5" s="7">
        <f t="shared" si="5"/>
        <v>90</v>
      </c>
      <c r="G5" s="7">
        <f t="shared" si="6"/>
        <v>75</v>
      </c>
      <c r="H5" s="7">
        <f t="shared" si="7"/>
        <v>64.285714285714292</v>
      </c>
      <c r="I5">
        <f t="shared" si="1"/>
        <v>12.5</v>
      </c>
    </row>
    <row r="6" spans="1:12">
      <c r="A6" s="7">
        <f t="shared" ref="A6:A17" si="8">72*I6</f>
        <v>1260</v>
      </c>
      <c r="B6" s="7">
        <f t="shared" si="2"/>
        <v>420</v>
      </c>
      <c r="C6" s="7">
        <f t="shared" si="3"/>
        <v>157.5</v>
      </c>
      <c r="E6" s="7">
        <f t="shared" si="4"/>
        <v>140</v>
      </c>
      <c r="F6" s="7">
        <f t="shared" si="5"/>
        <v>126</v>
      </c>
      <c r="G6" s="7">
        <f t="shared" si="6"/>
        <v>105</v>
      </c>
      <c r="H6" s="7">
        <f t="shared" si="7"/>
        <v>90</v>
      </c>
      <c r="I6">
        <f t="shared" si="1"/>
        <v>17.5</v>
      </c>
    </row>
    <row r="7" spans="1:12">
      <c r="A7" s="7">
        <f t="shared" si="8"/>
        <v>1800</v>
      </c>
      <c r="B7" s="7">
        <f t="shared" si="2"/>
        <v>600</v>
      </c>
      <c r="C7" s="7">
        <f t="shared" si="3"/>
        <v>225</v>
      </c>
      <c r="E7" s="7">
        <f t="shared" si="4"/>
        <v>200</v>
      </c>
      <c r="F7" s="7">
        <f t="shared" si="5"/>
        <v>180</v>
      </c>
      <c r="G7" s="7">
        <f t="shared" si="6"/>
        <v>150</v>
      </c>
      <c r="H7" s="7">
        <f t="shared" si="7"/>
        <v>128.57142857142858</v>
      </c>
      <c r="I7">
        <f t="shared" si="1"/>
        <v>25</v>
      </c>
    </row>
    <row r="8" spans="1:12">
      <c r="A8" s="7">
        <f t="shared" si="8"/>
        <v>2520</v>
      </c>
      <c r="B8" s="7">
        <f t="shared" si="2"/>
        <v>840</v>
      </c>
      <c r="C8" s="7">
        <f t="shared" si="3"/>
        <v>315</v>
      </c>
      <c r="E8" s="7">
        <f t="shared" si="4"/>
        <v>280</v>
      </c>
      <c r="F8" s="7">
        <f t="shared" si="5"/>
        <v>252</v>
      </c>
      <c r="G8" s="7">
        <f t="shared" si="6"/>
        <v>210</v>
      </c>
      <c r="H8" s="7">
        <f t="shared" si="7"/>
        <v>180</v>
      </c>
      <c r="I8">
        <f t="shared" si="1"/>
        <v>35</v>
      </c>
    </row>
    <row r="9" spans="1:12">
      <c r="A9" s="7">
        <f t="shared" si="8"/>
        <v>3600</v>
      </c>
      <c r="B9" s="7">
        <f t="shared" si="2"/>
        <v>1200</v>
      </c>
      <c r="C9" s="7">
        <f t="shared" si="3"/>
        <v>450</v>
      </c>
      <c r="E9" s="7">
        <f t="shared" si="4"/>
        <v>400</v>
      </c>
      <c r="F9" s="7">
        <f t="shared" si="5"/>
        <v>360</v>
      </c>
      <c r="G9" s="7">
        <f t="shared" si="6"/>
        <v>300</v>
      </c>
      <c r="H9" s="7">
        <f t="shared" si="7"/>
        <v>257.14285714285717</v>
      </c>
      <c r="I9">
        <f>I11/2</f>
        <v>50</v>
      </c>
    </row>
    <row r="10" spans="1:12">
      <c r="A10" s="7">
        <f t="shared" si="8"/>
        <v>5040</v>
      </c>
      <c r="B10" s="7">
        <f t="shared" si="2"/>
        <v>1680</v>
      </c>
      <c r="C10" s="7">
        <f t="shared" si="3"/>
        <v>630</v>
      </c>
      <c r="E10" s="7">
        <f t="shared" si="4"/>
        <v>560</v>
      </c>
      <c r="F10" s="7">
        <f t="shared" si="5"/>
        <v>504</v>
      </c>
      <c r="G10" s="7">
        <f t="shared" si="6"/>
        <v>420</v>
      </c>
      <c r="H10" s="7">
        <f t="shared" si="7"/>
        <v>360</v>
      </c>
      <c r="I10">
        <f>I12/2</f>
        <v>70</v>
      </c>
    </row>
    <row r="11" spans="1:12">
      <c r="A11" s="59">
        <f t="shared" si="8"/>
        <v>7200</v>
      </c>
      <c r="B11" s="59">
        <f t="shared" si="2"/>
        <v>2400</v>
      </c>
      <c r="C11" s="59">
        <f t="shared" si="3"/>
        <v>900</v>
      </c>
      <c r="D11" s="59"/>
      <c r="E11" s="59">
        <f t="shared" si="4"/>
        <v>800</v>
      </c>
      <c r="F11" s="59">
        <f t="shared" si="5"/>
        <v>720</v>
      </c>
      <c r="G11" s="59">
        <f t="shared" si="6"/>
        <v>600</v>
      </c>
      <c r="H11" s="59">
        <f t="shared" si="7"/>
        <v>514.28571428571433</v>
      </c>
      <c r="I11" s="46">
        <v>100</v>
      </c>
    </row>
    <row r="12" spans="1:12">
      <c r="A12" s="7">
        <f t="shared" si="8"/>
        <v>10080</v>
      </c>
      <c r="B12" s="7">
        <f t="shared" si="2"/>
        <v>3360</v>
      </c>
      <c r="C12" s="7">
        <f t="shared" si="3"/>
        <v>1260</v>
      </c>
      <c r="E12" s="7">
        <f t="shared" si="4"/>
        <v>1120</v>
      </c>
      <c r="F12" s="7">
        <f t="shared" si="5"/>
        <v>1008</v>
      </c>
      <c r="G12" s="7">
        <f t="shared" si="6"/>
        <v>840</v>
      </c>
      <c r="H12" s="7">
        <f t="shared" si="7"/>
        <v>720</v>
      </c>
      <c r="I12" s="46">
        <v>140</v>
      </c>
      <c r="J12">
        <f>I12/I11</f>
        <v>1.4</v>
      </c>
      <c r="K12">
        <f>SQRT(2)</f>
        <v>1.4142135623730951</v>
      </c>
      <c r="L12" s="195">
        <f>(J12-K12)/K12</f>
        <v>-1.0050506338833596E-2</v>
      </c>
    </row>
    <row r="13" spans="1:12">
      <c r="A13" s="7">
        <f t="shared" si="8"/>
        <v>14400</v>
      </c>
      <c r="B13" s="7">
        <f t="shared" si="2"/>
        <v>4800</v>
      </c>
      <c r="C13" s="7">
        <f t="shared" si="3"/>
        <v>1800</v>
      </c>
      <c r="E13" s="7">
        <f t="shared" si="4"/>
        <v>1600</v>
      </c>
      <c r="F13" s="7">
        <f t="shared" si="5"/>
        <v>1440</v>
      </c>
      <c r="G13" s="7">
        <f t="shared" si="6"/>
        <v>1200</v>
      </c>
      <c r="H13" s="7">
        <f t="shared" si="7"/>
        <v>1028.5714285714287</v>
      </c>
      <c r="I13">
        <f>I11*2</f>
        <v>200</v>
      </c>
      <c r="J13">
        <f>I13/I12</f>
        <v>1.4285714285714286</v>
      </c>
      <c r="K13">
        <f>SQRT(2)</f>
        <v>1.4142135623730951</v>
      </c>
      <c r="L13" s="195">
        <f>(J13-K13)/K13</f>
        <v>1.0152544552210702E-2</v>
      </c>
    </row>
    <row r="14" spans="1:12">
      <c r="A14" s="7">
        <f t="shared" si="8"/>
        <v>20160</v>
      </c>
      <c r="B14" s="7">
        <f t="shared" si="2"/>
        <v>6720</v>
      </c>
      <c r="C14" s="7">
        <f t="shared" si="3"/>
        <v>2520</v>
      </c>
      <c r="E14" s="7">
        <f t="shared" si="4"/>
        <v>2240</v>
      </c>
      <c r="F14" s="7">
        <f t="shared" si="5"/>
        <v>2016</v>
      </c>
      <c r="G14" s="7">
        <f t="shared" si="6"/>
        <v>1680</v>
      </c>
      <c r="H14" s="7">
        <f t="shared" si="7"/>
        <v>1440</v>
      </c>
      <c r="I14">
        <f>I12*2</f>
        <v>280</v>
      </c>
    </row>
    <row r="15" spans="1:12">
      <c r="A15" s="7">
        <f t="shared" si="8"/>
        <v>28800</v>
      </c>
      <c r="B15" s="7">
        <f t="shared" si="2"/>
        <v>9600</v>
      </c>
      <c r="C15" s="7">
        <f t="shared" si="3"/>
        <v>3600</v>
      </c>
      <c r="E15" s="7">
        <f t="shared" si="4"/>
        <v>3200</v>
      </c>
      <c r="F15" s="7">
        <f t="shared" si="5"/>
        <v>2880</v>
      </c>
      <c r="G15" s="7">
        <f t="shared" si="6"/>
        <v>2400</v>
      </c>
      <c r="H15" s="7">
        <f t="shared" si="7"/>
        <v>2057.1428571428573</v>
      </c>
      <c r="I15">
        <f t="shared" ref="I15:I17" si="9">I13*2</f>
        <v>400</v>
      </c>
    </row>
    <row r="16" spans="1:12">
      <c r="A16" s="7">
        <f t="shared" si="8"/>
        <v>40320</v>
      </c>
      <c r="B16" s="7">
        <f t="shared" si="2"/>
        <v>13440</v>
      </c>
      <c r="C16" s="7">
        <f t="shared" si="3"/>
        <v>5040</v>
      </c>
      <c r="E16" s="7">
        <f t="shared" si="4"/>
        <v>4480</v>
      </c>
      <c r="F16" s="7">
        <f t="shared" si="5"/>
        <v>4032</v>
      </c>
      <c r="G16" s="7">
        <f t="shared" si="6"/>
        <v>3360</v>
      </c>
      <c r="H16" s="7">
        <f t="shared" si="7"/>
        <v>2880</v>
      </c>
      <c r="I16">
        <f t="shared" si="9"/>
        <v>560</v>
      </c>
    </row>
    <row r="17" spans="1:12">
      <c r="A17" s="7">
        <f t="shared" si="8"/>
        <v>57600</v>
      </c>
      <c r="B17" s="7">
        <f t="shared" si="2"/>
        <v>19200</v>
      </c>
      <c r="C17" s="7">
        <f t="shared" si="3"/>
        <v>7200</v>
      </c>
      <c r="E17" s="7">
        <f t="shared" si="4"/>
        <v>6400</v>
      </c>
      <c r="F17" s="7">
        <f t="shared" si="5"/>
        <v>5760</v>
      </c>
      <c r="G17" s="7">
        <f t="shared" si="6"/>
        <v>4800</v>
      </c>
      <c r="H17" s="7">
        <f t="shared" si="7"/>
        <v>4114.2857142857147</v>
      </c>
      <c r="I17">
        <f t="shared" si="9"/>
        <v>800</v>
      </c>
    </row>
    <row r="20" spans="1:12">
      <c r="A20" s="7" t="s">
        <v>714</v>
      </c>
      <c r="B20" s="7" t="s">
        <v>716</v>
      </c>
      <c r="C20" s="7" t="s">
        <v>710</v>
      </c>
      <c r="D20" s="7" t="s">
        <v>824</v>
      </c>
      <c r="E20" s="7" t="s">
        <v>711</v>
      </c>
      <c r="F20" s="7" t="s">
        <v>712</v>
      </c>
      <c r="G20" s="7" t="s">
        <v>713</v>
      </c>
      <c r="H20" s="7" t="s">
        <v>717</v>
      </c>
      <c r="I20" t="s">
        <v>715</v>
      </c>
    </row>
    <row r="21" spans="1:12">
      <c r="A21" s="7">
        <f t="shared" ref="A21:A24" si="10">72*I21</f>
        <v>900</v>
      </c>
      <c r="B21" s="7">
        <f>A21/3</f>
        <v>300</v>
      </c>
      <c r="C21" s="7">
        <f>A21/8</f>
        <v>112.5</v>
      </c>
      <c r="D21" s="8">
        <f>SQRT(C21*C22)</f>
        <v>125.77882373436317</v>
      </c>
      <c r="E21" s="7">
        <f>A21/9</f>
        <v>100</v>
      </c>
      <c r="F21" s="7">
        <f>A21/10</f>
        <v>90</v>
      </c>
      <c r="G21" s="7">
        <f>A21/12</f>
        <v>75</v>
      </c>
      <c r="H21" s="7">
        <f>A21/14</f>
        <v>64.285714285714292</v>
      </c>
      <c r="I21">
        <f t="shared" ref="I21:I28" si="11">I24/2</f>
        <v>12.5</v>
      </c>
    </row>
    <row r="22" spans="1:12">
      <c r="A22" s="7">
        <f t="shared" si="10"/>
        <v>1125</v>
      </c>
      <c r="B22" s="7">
        <f t="shared" ref="B22:B36" si="12">A22/3</f>
        <v>375</v>
      </c>
      <c r="C22" s="7">
        <f t="shared" ref="C22:C36" si="13">A22/8</f>
        <v>140.625</v>
      </c>
      <c r="D22" s="8">
        <f t="shared" ref="D22:D35" si="14">SQRT(C22*C23)</f>
        <v>159.0990257669732</v>
      </c>
      <c r="E22" s="7">
        <f t="shared" ref="E22:E36" si="15">A22/9</f>
        <v>125</v>
      </c>
      <c r="F22" s="7">
        <f t="shared" ref="F22:F36" si="16">A22/10</f>
        <v>112.5</v>
      </c>
      <c r="G22" s="7">
        <f t="shared" ref="G22:G36" si="17">A22/12</f>
        <v>93.75</v>
      </c>
      <c r="H22" s="7">
        <f t="shared" ref="H22:H36" si="18">A22/14</f>
        <v>80.357142857142861</v>
      </c>
      <c r="I22">
        <f t="shared" si="11"/>
        <v>15.625</v>
      </c>
    </row>
    <row r="23" spans="1:12">
      <c r="A23" s="7">
        <f t="shared" si="10"/>
        <v>1440</v>
      </c>
      <c r="B23" s="7">
        <f t="shared" si="12"/>
        <v>480</v>
      </c>
      <c r="C23" s="7">
        <f t="shared" si="13"/>
        <v>180</v>
      </c>
      <c r="D23" s="8">
        <f t="shared" si="14"/>
        <v>201.24611797498108</v>
      </c>
      <c r="E23" s="7">
        <f t="shared" si="15"/>
        <v>160</v>
      </c>
      <c r="F23" s="7">
        <f t="shared" si="16"/>
        <v>144</v>
      </c>
      <c r="G23" s="7">
        <f t="shared" si="17"/>
        <v>120</v>
      </c>
      <c r="H23" s="7">
        <f t="shared" si="18"/>
        <v>102.85714285714286</v>
      </c>
      <c r="I23">
        <f t="shared" si="11"/>
        <v>20</v>
      </c>
    </row>
    <row r="24" spans="1:12">
      <c r="A24" s="7">
        <f t="shared" si="10"/>
        <v>1800</v>
      </c>
      <c r="B24" s="7">
        <f t="shared" si="12"/>
        <v>600</v>
      </c>
      <c r="C24" s="7">
        <f t="shared" si="13"/>
        <v>225</v>
      </c>
      <c r="D24" s="8">
        <f t="shared" si="14"/>
        <v>251.55764746872634</v>
      </c>
      <c r="E24" s="7">
        <f t="shared" si="15"/>
        <v>200</v>
      </c>
      <c r="F24" s="7">
        <f t="shared" si="16"/>
        <v>180</v>
      </c>
      <c r="G24" s="7">
        <f t="shared" si="17"/>
        <v>150</v>
      </c>
      <c r="H24" s="7">
        <f t="shared" si="18"/>
        <v>128.57142857142858</v>
      </c>
      <c r="I24">
        <f t="shared" si="11"/>
        <v>25</v>
      </c>
    </row>
    <row r="25" spans="1:12">
      <c r="A25" s="7">
        <f t="shared" ref="A25:A36" si="19">72*I25</f>
        <v>2250</v>
      </c>
      <c r="B25" s="7">
        <f t="shared" si="12"/>
        <v>750</v>
      </c>
      <c r="C25" s="7">
        <f t="shared" si="13"/>
        <v>281.25</v>
      </c>
      <c r="D25" s="8">
        <f t="shared" si="14"/>
        <v>318.1980515339464</v>
      </c>
      <c r="E25" s="7">
        <f t="shared" si="15"/>
        <v>250</v>
      </c>
      <c r="F25" s="7">
        <f t="shared" si="16"/>
        <v>225</v>
      </c>
      <c r="G25" s="7">
        <f t="shared" si="17"/>
        <v>187.5</v>
      </c>
      <c r="H25" s="7">
        <f t="shared" si="18"/>
        <v>160.71428571428572</v>
      </c>
      <c r="I25">
        <f t="shared" si="11"/>
        <v>31.25</v>
      </c>
    </row>
    <row r="26" spans="1:12">
      <c r="A26" s="7">
        <f t="shared" si="19"/>
        <v>2880</v>
      </c>
      <c r="B26" s="7">
        <f t="shared" si="12"/>
        <v>960</v>
      </c>
      <c r="C26" s="7">
        <f t="shared" si="13"/>
        <v>360</v>
      </c>
      <c r="D26" s="8">
        <f t="shared" si="14"/>
        <v>402.49223594996215</v>
      </c>
      <c r="E26" s="7">
        <f t="shared" si="15"/>
        <v>320</v>
      </c>
      <c r="F26" s="7">
        <f t="shared" si="16"/>
        <v>288</v>
      </c>
      <c r="G26" s="7">
        <f t="shared" si="17"/>
        <v>240</v>
      </c>
      <c r="H26" s="7">
        <f t="shared" si="18"/>
        <v>205.71428571428572</v>
      </c>
      <c r="I26">
        <f t="shared" si="11"/>
        <v>40</v>
      </c>
    </row>
    <row r="27" spans="1:12">
      <c r="A27" s="7">
        <f t="shared" si="19"/>
        <v>3600</v>
      </c>
      <c r="B27" s="7">
        <f t="shared" si="12"/>
        <v>1200</v>
      </c>
      <c r="C27" s="7">
        <f t="shared" si="13"/>
        <v>450</v>
      </c>
      <c r="D27" s="8">
        <f t="shared" si="14"/>
        <v>503.11529493745269</v>
      </c>
      <c r="E27" s="7">
        <f t="shared" si="15"/>
        <v>400</v>
      </c>
      <c r="F27" s="7">
        <f t="shared" si="16"/>
        <v>360</v>
      </c>
      <c r="G27" s="7">
        <f t="shared" si="17"/>
        <v>300</v>
      </c>
      <c r="H27" s="7">
        <f t="shared" si="18"/>
        <v>257.14285714285717</v>
      </c>
      <c r="I27">
        <f t="shared" si="11"/>
        <v>50</v>
      </c>
    </row>
    <row r="28" spans="1:12">
      <c r="A28" s="7">
        <f t="shared" si="19"/>
        <v>4500</v>
      </c>
      <c r="B28" s="7">
        <f t="shared" si="12"/>
        <v>1500</v>
      </c>
      <c r="C28" s="7">
        <f t="shared" si="13"/>
        <v>562.5</v>
      </c>
      <c r="D28" s="8">
        <f t="shared" si="14"/>
        <v>636.3961030678928</v>
      </c>
      <c r="E28" s="7">
        <f t="shared" si="15"/>
        <v>500</v>
      </c>
      <c r="F28" s="7">
        <f t="shared" si="16"/>
        <v>450</v>
      </c>
      <c r="G28" s="7">
        <f t="shared" si="17"/>
        <v>375</v>
      </c>
      <c r="H28" s="7">
        <f t="shared" si="18"/>
        <v>321.42857142857144</v>
      </c>
      <c r="I28">
        <f t="shared" si="11"/>
        <v>62.5</v>
      </c>
    </row>
    <row r="29" spans="1:12">
      <c r="A29" s="7">
        <f t="shared" si="19"/>
        <v>5760</v>
      </c>
      <c r="B29" s="7">
        <f t="shared" si="12"/>
        <v>1920</v>
      </c>
      <c r="C29" s="7">
        <f t="shared" si="13"/>
        <v>720</v>
      </c>
      <c r="D29" s="8">
        <f t="shared" si="14"/>
        <v>804.9844718999243</v>
      </c>
      <c r="E29" s="7">
        <f t="shared" si="15"/>
        <v>640</v>
      </c>
      <c r="F29" s="7">
        <f t="shared" si="16"/>
        <v>576</v>
      </c>
      <c r="G29" s="7">
        <f t="shared" si="17"/>
        <v>480</v>
      </c>
      <c r="H29" s="7">
        <f t="shared" si="18"/>
        <v>411.42857142857144</v>
      </c>
      <c r="I29">
        <f>I32/2</f>
        <v>80</v>
      </c>
    </row>
    <row r="30" spans="1:12">
      <c r="A30" s="59">
        <f t="shared" si="19"/>
        <v>7200</v>
      </c>
      <c r="B30" s="59">
        <f t="shared" si="12"/>
        <v>2400</v>
      </c>
      <c r="C30" s="59">
        <f t="shared" si="13"/>
        <v>900</v>
      </c>
      <c r="D30" s="8">
        <f t="shared" si="14"/>
        <v>1006.2305898749054</v>
      </c>
      <c r="E30" s="59">
        <f t="shared" si="15"/>
        <v>800</v>
      </c>
      <c r="F30" s="59">
        <f t="shared" si="16"/>
        <v>720</v>
      </c>
      <c r="G30" s="59">
        <f t="shared" si="17"/>
        <v>600</v>
      </c>
      <c r="H30" s="59">
        <f t="shared" si="18"/>
        <v>514.28571428571433</v>
      </c>
      <c r="I30" s="46">
        <v>100</v>
      </c>
    </row>
    <row r="31" spans="1:12">
      <c r="A31" s="7">
        <f t="shared" si="19"/>
        <v>9000</v>
      </c>
      <c r="B31" s="7">
        <f t="shared" si="12"/>
        <v>3000</v>
      </c>
      <c r="C31" s="7">
        <f t="shared" si="13"/>
        <v>1125</v>
      </c>
      <c r="D31" s="8">
        <f t="shared" si="14"/>
        <v>1272.7922061357856</v>
      </c>
      <c r="E31" s="7">
        <f t="shared" si="15"/>
        <v>1000</v>
      </c>
      <c r="F31" s="7">
        <f t="shared" si="16"/>
        <v>900</v>
      </c>
      <c r="G31" s="7">
        <f t="shared" si="17"/>
        <v>750</v>
      </c>
      <c r="H31" s="7">
        <f t="shared" si="18"/>
        <v>642.85714285714289</v>
      </c>
      <c r="I31" s="46">
        <v>125</v>
      </c>
      <c r="J31">
        <f>I31/I30</f>
        <v>1.25</v>
      </c>
      <c r="K31">
        <f>EXP(LN(2)/3)</f>
        <v>1.2599210498948732</v>
      </c>
      <c r="L31" s="195">
        <f>(J31-K31)/K31</f>
        <v>-7.8743425198753488E-3</v>
      </c>
    </row>
    <row r="32" spans="1:12">
      <c r="A32" s="7">
        <f t="shared" si="19"/>
        <v>11520</v>
      </c>
      <c r="B32" s="7">
        <f t="shared" si="12"/>
        <v>3840</v>
      </c>
      <c r="C32" s="7">
        <f t="shared" si="13"/>
        <v>1440</v>
      </c>
      <c r="D32" s="8">
        <f t="shared" si="14"/>
        <v>1609.9689437998486</v>
      </c>
      <c r="E32" s="7">
        <f t="shared" si="15"/>
        <v>1280</v>
      </c>
      <c r="F32" s="7">
        <f t="shared" si="16"/>
        <v>1152</v>
      </c>
      <c r="G32" s="7">
        <f t="shared" si="17"/>
        <v>960</v>
      </c>
      <c r="H32" s="7">
        <f t="shared" si="18"/>
        <v>822.85714285714289</v>
      </c>
      <c r="I32" s="46">
        <v>160</v>
      </c>
      <c r="J32">
        <f>I32/I31</f>
        <v>1.28</v>
      </c>
      <c r="K32">
        <f>EXP(LN(2)/3)</f>
        <v>1.2599210498948732</v>
      </c>
      <c r="L32" s="195">
        <f t="shared" ref="L32:L33" si="20">(J32-K32)/K32</f>
        <v>1.5936673259647663E-2</v>
      </c>
    </row>
    <row r="33" spans="1:12">
      <c r="A33" s="7">
        <f t="shared" si="19"/>
        <v>14400</v>
      </c>
      <c r="B33" s="7">
        <f t="shared" si="12"/>
        <v>4800</v>
      </c>
      <c r="C33" s="7">
        <f t="shared" si="13"/>
        <v>1800</v>
      </c>
      <c r="D33" s="8">
        <f t="shared" si="14"/>
        <v>2012.4611797498108</v>
      </c>
      <c r="E33" s="7">
        <f t="shared" si="15"/>
        <v>1600</v>
      </c>
      <c r="F33" s="7">
        <f t="shared" si="16"/>
        <v>1440</v>
      </c>
      <c r="G33" s="7">
        <f t="shared" si="17"/>
        <v>1200</v>
      </c>
      <c r="H33" s="7">
        <f t="shared" si="18"/>
        <v>1028.5714285714287</v>
      </c>
      <c r="I33">
        <f>I30*2</f>
        <v>200</v>
      </c>
      <c r="J33">
        <f>I33/I32</f>
        <v>1.25</v>
      </c>
      <c r="K33">
        <f>EXP(LN(2)/3)</f>
        <v>1.2599210498948732</v>
      </c>
      <c r="L33" s="195">
        <f t="shared" si="20"/>
        <v>-7.8743425198753488E-3</v>
      </c>
    </row>
    <row r="34" spans="1:12">
      <c r="A34" s="7">
        <f t="shared" si="19"/>
        <v>18000</v>
      </c>
      <c r="B34" s="7">
        <f t="shared" si="12"/>
        <v>6000</v>
      </c>
      <c r="C34" s="7">
        <f t="shared" si="13"/>
        <v>2250</v>
      </c>
      <c r="D34" s="8">
        <f t="shared" si="14"/>
        <v>2545.5844122715712</v>
      </c>
      <c r="E34" s="7">
        <f t="shared" si="15"/>
        <v>2000</v>
      </c>
      <c r="F34" s="7">
        <f t="shared" si="16"/>
        <v>1800</v>
      </c>
      <c r="G34" s="7">
        <f t="shared" si="17"/>
        <v>1500</v>
      </c>
      <c r="H34" s="7">
        <f t="shared" si="18"/>
        <v>1285.7142857142858</v>
      </c>
      <c r="I34">
        <f t="shared" ref="I34:I36" si="21">I31*2</f>
        <v>250</v>
      </c>
    </row>
    <row r="35" spans="1:12">
      <c r="A35" s="7">
        <f t="shared" si="19"/>
        <v>23040</v>
      </c>
      <c r="B35" s="7">
        <f t="shared" si="12"/>
        <v>7680</v>
      </c>
      <c r="C35" s="7">
        <f t="shared" si="13"/>
        <v>2880</v>
      </c>
      <c r="D35" s="8">
        <f t="shared" si="14"/>
        <v>3219.9378875996972</v>
      </c>
      <c r="E35" s="7">
        <f t="shared" si="15"/>
        <v>2560</v>
      </c>
      <c r="F35" s="7">
        <f t="shared" si="16"/>
        <v>2304</v>
      </c>
      <c r="G35" s="7">
        <f t="shared" si="17"/>
        <v>1920</v>
      </c>
      <c r="H35" s="7">
        <f t="shared" si="18"/>
        <v>1645.7142857142858</v>
      </c>
      <c r="I35">
        <f t="shared" si="21"/>
        <v>320</v>
      </c>
    </row>
    <row r="36" spans="1:12">
      <c r="A36" s="7">
        <f t="shared" si="19"/>
        <v>28800</v>
      </c>
      <c r="B36" s="7">
        <f t="shared" si="12"/>
        <v>9600</v>
      </c>
      <c r="C36" s="7">
        <f t="shared" si="13"/>
        <v>3600</v>
      </c>
      <c r="D36" s="8"/>
      <c r="E36" s="7">
        <f t="shared" si="15"/>
        <v>3200</v>
      </c>
      <c r="F36" s="7">
        <f t="shared" si="16"/>
        <v>2880</v>
      </c>
      <c r="G36" s="7">
        <f t="shared" si="17"/>
        <v>2400</v>
      </c>
      <c r="H36" s="7">
        <f t="shared" si="18"/>
        <v>2057.1428571428573</v>
      </c>
      <c r="I36">
        <f t="shared" si="21"/>
        <v>400</v>
      </c>
    </row>
    <row r="39" spans="1:12">
      <c r="A39" s="7" t="s">
        <v>714</v>
      </c>
      <c r="B39" s="7" t="s">
        <v>716</v>
      </c>
      <c r="C39" s="7" t="s">
        <v>710</v>
      </c>
      <c r="E39" s="7" t="s">
        <v>711</v>
      </c>
      <c r="F39" s="7" t="s">
        <v>712</v>
      </c>
      <c r="G39" s="7" t="s">
        <v>713</v>
      </c>
      <c r="H39" s="7" t="s">
        <v>717</v>
      </c>
      <c r="I39" t="s">
        <v>715</v>
      </c>
    </row>
    <row r="40" spans="1:12">
      <c r="A40" s="194">
        <f t="shared" ref="A40" si="22">72*I40</f>
        <v>900</v>
      </c>
      <c r="B40" s="194">
        <f t="shared" ref="B40:B42" si="23">A40/3</f>
        <v>300</v>
      </c>
      <c r="C40" s="194">
        <f t="shared" ref="C40" si="24">A40/8</f>
        <v>112.5</v>
      </c>
      <c r="D40" s="194"/>
      <c r="E40" s="194">
        <f t="shared" ref="E40" si="25">A40/9</f>
        <v>100</v>
      </c>
      <c r="F40" s="194">
        <f t="shared" ref="F40" si="26">A40/10</f>
        <v>90</v>
      </c>
      <c r="G40" s="194">
        <f t="shared" ref="G40" si="27">A40/12</f>
        <v>75</v>
      </c>
      <c r="H40" s="194">
        <f t="shared" ref="H40" si="28">A40/14</f>
        <v>64.285714285714292</v>
      </c>
      <c r="I40" s="193">
        <f t="shared" ref="I40:I50" si="29">I44/2</f>
        <v>12.5</v>
      </c>
    </row>
    <row r="41" spans="1:12">
      <c r="A41" s="7">
        <f t="shared" ref="A41:A42" si="30">72*I41</f>
        <v>1080</v>
      </c>
      <c r="B41" s="7">
        <f t="shared" si="23"/>
        <v>360</v>
      </c>
      <c r="C41" s="7">
        <f t="shared" ref="C41:C42" si="31">A41/8</f>
        <v>135</v>
      </c>
      <c r="E41" s="7">
        <f t="shared" ref="E41:E42" si="32">A41/9</f>
        <v>120</v>
      </c>
      <c r="F41" s="7">
        <f t="shared" ref="F41:F42" si="33">A41/10</f>
        <v>108</v>
      </c>
      <c r="G41" s="7">
        <f t="shared" ref="G41:G42" si="34">A41/12</f>
        <v>90</v>
      </c>
      <c r="H41" s="7">
        <f t="shared" ref="H41:H42" si="35">A41/14</f>
        <v>77.142857142857139</v>
      </c>
      <c r="I41">
        <f t="shared" si="29"/>
        <v>15</v>
      </c>
    </row>
    <row r="42" spans="1:12">
      <c r="A42" s="7">
        <f t="shared" si="30"/>
        <v>1305</v>
      </c>
      <c r="B42" s="7">
        <f t="shared" si="23"/>
        <v>435</v>
      </c>
      <c r="C42" s="7">
        <f t="shared" si="31"/>
        <v>163.125</v>
      </c>
      <c r="E42" s="7">
        <f t="shared" si="32"/>
        <v>145</v>
      </c>
      <c r="F42" s="7">
        <f t="shared" si="33"/>
        <v>130.5</v>
      </c>
      <c r="G42" s="7">
        <f t="shared" si="34"/>
        <v>108.75</v>
      </c>
      <c r="H42" s="7">
        <f t="shared" si="35"/>
        <v>93.214285714285708</v>
      </c>
      <c r="I42">
        <f t="shared" si="29"/>
        <v>18.125</v>
      </c>
    </row>
    <row r="43" spans="1:12">
      <c r="A43" s="7">
        <f t="shared" ref="A43:A46" si="36">72*I43</f>
        <v>1530</v>
      </c>
      <c r="B43" s="7">
        <f>A43/3</f>
        <v>510</v>
      </c>
      <c r="C43" s="7">
        <f>A43/8</f>
        <v>191.25</v>
      </c>
      <c r="E43" s="7">
        <f>A43/9</f>
        <v>170</v>
      </c>
      <c r="F43" s="7">
        <f>A43/10</f>
        <v>153</v>
      </c>
      <c r="G43" s="7">
        <f>A43/12</f>
        <v>127.5</v>
      </c>
      <c r="H43" s="7">
        <f>A43/14</f>
        <v>109.28571428571429</v>
      </c>
      <c r="I43">
        <f t="shared" si="29"/>
        <v>21.25</v>
      </c>
    </row>
    <row r="44" spans="1:12">
      <c r="A44" s="7">
        <f t="shared" si="36"/>
        <v>1800</v>
      </c>
      <c r="B44" s="7">
        <f t="shared" ref="B44:B58" si="37">A44/3</f>
        <v>600</v>
      </c>
      <c r="C44" s="7">
        <f t="shared" ref="C44:C58" si="38">A44/8</f>
        <v>225</v>
      </c>
      <c r="E44" s="7">
        <f t="shared" ref="E44:E58" si="39">A44/9</f>
        <v>200</v>
      </c>
      <c r="F44" s="7">
        <f t="shared" ref="F44:F58" si="40">A44/10</f>
        <v>180</v>
      </c>
      <c r="G44" s="7">
        <f t="shared" ref="G44:G58" si="41">A44/12</f>
        <v>150</v>
      </c>
      <c r="H44" s="7">
        <f t="shared" ref="H44:H58" si="42">A44/14</f>
        <v>128.57142857142858</v>
      </c>
      <c r="I44">
        <f t="shared" si="29"/>
        <v>25</v>
      </c>
    </row>
    <row r="45" spans="1:12">
      <c r="A45" s="7">
        <f t="shared" si="36"/>
        <v>2160</v>
      </c>
      <c r="B45" s="7">
        <f t="shared" si="37"/>
        <v>720</v>
      </c>
      <c r="C45" s="7">
        <f t="shared" si="38"/>
        <v>270</v>
      </c>
      <c r="E45" s="7">
        <f t="shared" si="39"/>
        <v>240</v>
      </c>
      <c r="F45" s="7">
        <f t="shared" si="40"/>
        <v>216</v>
      </c>
      <c r="G45" s="7">
        <f t="shared" si="41"/>
        <v>180</v>
      </c>
      <c r="H45" s="7">
        <f t="shared" si="42"/>
        <v>154.28571428571428</v>
      </c>
      <c r="I45">
        <f t="shared" si="29"/>
        <v>30</v>
      </c>
    </row>
    <row r="46" spans="1:12">
      <c r="A46" s="7">
        <f t="shared" si="36"/>
        <v>2610</v>
      </c>
      <c r="B46" s="7">
        <f t="shared" si="37"/>
        <v>870</v>
      </c>
      <c r="C46" s="7">
        <f t="shared" si="38"/>
        <v>326.25</v>
      </c>
      <c r="E46" s="7">
        <f t="shared" si="39"/>
        <v>290</v>
      </c>
      <c r="F46" s="7">
        <f t="shared" si="40"/>
        <v>261</v>
      </c>
      <c r="G46" s="7">
        <f t="shared" si="41"/>
        <v>217.5</v>
      </c>
      <c r="H46" s="7">
        <f t="shared" si="42"/>
        <v>186.42857142857142</v>
      </c>
      <c r="I46">
        <f t="shared" si="29"/>
        <v>36.25</v>
      </c>
    </row>
    <row r="47" spans="1:12">
      <c r="A47" s="7">
        <f t="shared" ref="A47:A58" si="43">72*I47</f>
        <v>3060</v>
      </c>
      <c r="B47" s="7">
        <f t="shared" si="37"/>
        <v>1020</v>
      </c>
      <c r="C47" s="7">
        <f t="shared" si="38"/>
        <v>382.5</v>
      </c>
      <c r="E47" s="7">
        <f t="shared" si="39"/>
        <v>340</v>
      </c>
      <c r="F47" s="7">
        <f t="shared" si="40"/>
        <v>306</v>
      </c>
      <c r="G47" s="7">
        <f t="shared" si="41"/>
        <v>255</v>
      </c>
      <c r="H47" s="7">
        <f t="shared" si="42"/>
        <v>218.57142857142858</v>
      </c>
      <c r="I47">
        <f t="shared" si="29"/>
        <v>42.5</v>
      </c>
    </row>
    <row r="48" spans="1:12">
      <c r="A48" s="7">
        <f t="shared" si="43"/>
        <v>3600</v>
      </c>
      <c r="B48" s="7">
        <f t="shared" si="37"/>
        <v>1200</v>
      </c>
      <c r="C48" s="7">
        <f t="shared" si="38"/>
        <v>450</v>
      </c>
      <c r="E48" s="7">
        <f t="shared" si="39"/>
        <v>400</v>
      </c>
      <c r="F48" s="7">
        <f t="shared" si="40"/>
        <v>360</v>
      </c>
      <c r="G48" s="7">
        <f t="shared" si="41"/>
        <v>300</v>
      </c>
      <c r="H48" s="7">
        <f t="shared" si="42"/>
        <v>257.14285714285717</v>
      </c>
      <c r="I48">
        <f t="shared" si="29"/>
        <v>50</v>
      </c>
    </row>
    <row r="49" spans="1:12">
      <c r="A49" s="7">
        <f t="shared" si="43"/>
        <v>4320</v>
      </c>
      <c r="B49" s="7">
        <f t="shared" si="37"/>
        <v>1440</v>
      </c>
      <c r="C49" s="7">
        <f t="shared" si="38"/>
        <v>540</v>
      </c>
      <c r="E49" s="7">
        <f t="shared" si="39"/>
        <v>480</v>
      </c>
      <c r="F49" s="7">
        <f t="shared" si="40"/>
        <v>432</v>
      </c>
      <c r="G49" s="7">
        <f t="shared" si="41"/>
        <v>360</v>
      </c>
      <c r="H49" s="7">
        <f t="shared" si="42"/>
        <v>308.57142857142856</v>
      </c>
      <c r="I49">
        <f t="shared" si="29"/>
        <v>60</v>
      </c>
    </row>
    <row r="50" spans="1:12">
      <c r="A50" s="7">
        <f t="shared" si="43"/>
        <v>5220</v>
      </c>
      <c r="B50" s="7">
        <f t="shared" si="37"/>
        <v>1740</v>
      </c>
      <c r="C50" s="7">
        <f t="shared" si="38"/>
        <v>652.5</v>
      </c>
      <c r="E50" s="7">
        <f t="shared" si="39"/>
        <v>580</v>
      </c>
      <c r="F50" s="7">
        <f t="shared" si="40"/>
        <v>522</v>
      </c>
      <c r="G50" s="7">
        <f t="shared" si="41"/>
        <v>435</v>
      </c>
      <c r="H50" s="7">
        <f t="shared" si="42"/>
        <v>372.85714285714283</v>
      </c>
      <c r="I50">
        <f t="shared" si="29"/>
        <v>72.5</v>
      </c>
    </row>
    <row r="51" spans="1:12">
      <c r="A51" s="7">
        <f t="shared" si="43"/>
        <v>6120</v>
      </c>
      <c r="B51" s="7">
        <f t="shared" si="37"/>
        <v>2040</v>
      </c>
      <c r="C51" s="7">
        <f t="shared" si="38"/>
        <v>765</v>
      </c>
      <c r="E51" s="7">
        <f t="shared" si="39"/>
        <v>680</v>
      </c>
      <c r="F51" s="7">
        <f t="shared" si="40"/>
        <v>612</v>
      </c>
      <c r="G51" s="7">
        <f t="shared" si="41"/>
        <v>510</v>
      </c>
      <c r="H51" s="7">
        <f t="shared" si="42"/>
        <v>437.14285714285717</v>
      </c>
      <c r="I51">
        <f>I55/2</f>
        <v>85</v>
      </c>
    </row>
    <row r="52" spans="1:12">
      <c r="A52" s="59">
        <f t="shared" si="43"/>
        <v>7200</v>
      </c>
      <c r="B52" s="59">
        <f t="shared" si="37"/>
        <v>2400</v>
      </c>
      <c r="C52" s="59">
        <f t="shared" si="38"/>
        <v>900</v>
      </c>
      <c r="D52" s="59"/>
      <c r="E52" s="59">
        <f t="shared" si="39"/>
        <v>800</v>
      </c>
      <c r="F52" s="59">
        <f t="shared" si="40"/>
        <v>720</v>
      </c>
      <c r="G52" s="59">
        <f t="shared" si="41"/>
        <v>600</v>
      </c>
      <c r="H52" s="59">
        <f t="shared" si="42"/>
        <v>514.28571428571433</v>
      </c>
      <c r="I52" s="46">
        <v>100</v>
      </c>
    </row>
    <row r="53" spans="1:12">
      <c r="A53" s="7">
        <f t="shared" si="43"/>
        <v>8640</v>
      </c>
      <c r="B53" s="7">
        <f t="shared" si="37"/>
        <v>2880</v>
      </c>
      <c r="C53" s="7">
        <f t="shared" si="38"/>
        <v>1080</v>
      </c>
      <c r="E53" s="7">
        <f t="shared" si="39"/>
        <v>960</v>
      </c>
      <c r="F53" s="7">
        <f t="shared" si="40"/>
        <v>864</v>
      </c>
      <c r="G53" s="7">
        <f t="shared" si="41"/>
        <v>720</v>
      </c>
      <c r="H53" s="7">
        <f t="shared" si="42"/>
        <v>617.14285714285711</v>
      </c>
      <c r="I53" s="46">
        <v>120</v>
      </c>
      <c r="J53">
        <f>I53/I52</f>
        <v>1.2</v>
      </c>
      <c r="K53">
        <f>SQRT(SQRT(2))</f>
        <v>1.189207115002721</v>
      </c>
      <c r="L53" s="195">
        <f>(J53-K53)/K53</f>
        <v>9.0756983044574489E-3</v>
      </c>
    </row>
    <row r="54" spans="1:12">
      <c r="A54" s="7">
        <f t="shared" si="43"/>
        <v>10440</v>
      </c>
      <c r="B54" s="7">
        <f t="shared" si="37"/>
        <v>3480</v>
      </c>
      <c r="C54" s="7">
        <f t="shared" si="38"/>
        <v>1305</v>
      </c>
      <c r="E54" s="7">
        <f t="shared" si="39"/>
        <v>1160</v>
      </c>
      <c r="F54" s="7">
        <f t="shared" si="40"/>
        <v>1044</v>
      </c>
      <c r="G54" s="7">
        <f t="shared" si="41"/>
        <v>870</v>
      </c>
      <c r="H54" s="7">
        <f t="shared" si="42"/>
        <v>745.71428571428567</v>
      </c>
      <c r="I54" s="46">
        <v>145</v>
      </c>
      <c r="J54">
        <f t="shared" ref="J54:J56" si="44">I54/I53</f>
        <v>1.2083333333333333</v>
      </c>
      <c r="K54">
        <f t="shared" ref="K54:K56" si="45">SQRT(SQRT(2))</f>
        <v>1.189207115002721</v>
      </c>
      <c r="L54" s="195">
        <f t="shared" ref="L54:L56" si="46">(J54-K54)/K54</f>
        <v>1.6083168431571711E-2</v>
      </c>
    </row>
    <row r="55" spans="1:12">
      <c r="A55" s="7">
        <f t="shared" si="43"/>
        <v>12240</v>
      </c>
      <c r="B55" s="7">
        <f t="shared" si="37"/>
        <v>4080</v>
      </c>
      <c r="C55" s="7">
        <f t="shared" si="38"/>
        <v>1530</v>
      </c>
      <c r="E55" s="7">
        <f t="shared" si="39"/>
        <v>1360</v>
      </c>
      <c r="F55" s="7">
        <f t="shared" si="40"/>
        <v>1224</v>
      </c>
      <c r="G55" s="7">
        <f t="shared" si="41"/>
        <v>1020</v>
      </c>
      <c r="H55" s="7">
        <f t="shared" si="42"/>
        <v>874.28571428571433</v>
      </c>
      <c r="I55" s="46">
        <v>170</v>
      </c>
      <c r="J55">
        <f t="shared" si="44"/>
        <v>1.1724137931034482</v>
      </c>
      <c r="K55">
        <f t="shared" si="45"/>
        <v>1.189207115002721</v>
      </c>
      <c r="L55" s="195">
        <f t="shared" si="46"/>
        <v>-1.4121444185300241E-2</v>
      </c>
    </row>
    <row r="56" spans="1:12">
      <c r="A56" s="7">
        <f t="shared" si="43"/>
        <v>14400</v>
      </c>
      <c r="B56" s="7">
        <f t="shared" si="37"/>
        <v>4800</v>
      </c>
      <c r="C56" s="7">
        <f t="shared" si="38"/>
        <v>1800</v>
      </c>
      <c r="E56" s="7">
        <f t="shared" si="39"/>
        <v>1600</v>
      </c>
      <c r="F56" s="7">
        <f t="shared" si="40"/>
        <v>1440</v>
      </c>
      <c r="G56" s="7">
        <f t="shared" si="41"/>
        <v>1200</v>
      </c>
      <c r="H56" s="7">
        <f t="shared" si="42"/>
        <v>1028.5714285714287</v>
      </c>
      <c r="I56">
        <f>I52*2</f>
        <v>200</v>
      </c>
      <c r="J56">
        <f t="shared" si="44"/>
        <v>1.1764705882352942</v>
      </c>
      <c r="K56">
        <f t="shared" si="45"/>
        <v>1.189207115002721</v>
      </c>
      <c r="L56" s="195">
        <f t="shared" si="46"/>
        <v>-1.0710099701512236E-2</v>
      </c>
    </row>
    <row r="57" spans="1:12">
      <c r="A57" s="194">
        <f t="shared" si="43"/>
        <v>17280</v>
      </c>
      <c r="B57" s="194">
        <f t="shared" si="37"/>
        <v>5760</v>
      </c>
      <c r="C57" s="194">
        <f t="shared" si="38"/>
        <v>2160</v>
      </c>
      <c r="D57" s="194"/>
      <c r="E57" s="194">
        <f t="shared" si="39"/>
        <v>1920</v>
      </c>
      <c r="F57" s="194">
        <f t="shared" si="40"/>
        <v>1728</v>
      </c>
      <c r="G57" s="194">
        <f t="shared" si="41"/>
        <v>1440</v>
      </c>
      <c r="H57" s="194">
        <f t="shared" si="42"/>
        <v>1234.2857142857142</v>
      </c>
      <c r="I57" s="193">
        <f t="shared" ref="I57:I58" si="47">I53*2</f>
        <v>240</v>
      </c>
    </row>
    <row r="58" spans="1:12">
      <c r="A58" s="194">
        <f t="shared" si="43"/>
        <v>20880</v>
      </c>
      <c r="B58" s="194">
        <f t="shared" si="37"/>
        <v>6960</v>
      </c>
      <c r="C58" s="194">
        <f t="shared" si="38"/>
        <v>2610</v>
      </c>
      <c r="D58" s="194"/>
      <c r="E58" s="194">
        <f t="shared" si="39"/>
        <v>2320</v>
      </c>
      <c r="F58" s="194">
        <f t="shared" si="40"/>
        <v>2088</v>
      </c>
      <c r="G58" s="194">
        <f t="shared" si="41"/>
        <v>1740</v>
      </c>
      <c r="H58" s="194">
        <f t="shared" si="42"/>
        <v>1491.4285714285713</v>
      </c>
      <c r="I58" s="193">
        <f t="shared" si="47"/>
        <v>290</v>
      </c>
    </row>
    <row r="59" spans="1:12">
      <c r="A59" s="194"/>
      <c r="B59" s="194"/>
      <c r="C59" s="194"/>
      <c r="D59" s="194"/>
      <c r="E59" s="194"/>
      <c r="F59" s="194"/>
      <c r="G59" s="194"/>
      <c r="H59" s="194"/>
      <c r="I59" s="193"/>
    </row>
    <row r="61" spans="1:12">
      <c r="A61" s="7" t="s">
        <v>714</v>
      </c>
      <c r="B61" s="7" t="s">
        <v>716</v>
      </c>
      <c r="C61" s="7" t="s">
        <v>710</v>
      </c>
      <c r="E61" s="7" t="s">
        <v>711</v>
      </c>
      <c r="F61" s="7" t="s">
        <v>712</v>
      </c>
      <c r="G61" s="7" t="s">
        <v>713</v>
      </c>
      <c r="H61" s="7" t="s">
        <v>717</v>
      </c>
      <c r="I61" t="s">
        <v>715</v>
      </c>
    </row>
    <row r="62" spans="1:12">
      <c r="A62" s="194">
        <f t="shared" ref="A62:A71" si="48">72*I62</f>
        <v>900</v>
      </c>
      <c r="B62" s="194">
        <f t="shared" ref="B62:B67" si="49">A62/3</f>
        <v>300</v>
      </c>
      <c r="C62" s="194">
        <f t="shared" ref="C62:C67" si="50">A62/8</f>
        <v>112.5</v>
      </c>
      <c r="D62" s="194"/>
      <c r="E62" s="194">
        <f t="shared" ref="E62:E67" si="51">A62/9</f>
        <v>100</v>
      </c>
      <c r="F62" s="194">
        <f t="shared" ref="F62:F67" si="52">A62/10</f>
        <v>90</v>
      </c>
      <c r="G62" s="194">
        <f t="shared" ref="G62:G67" si="53">A62/12</f>
        <v>75</v>
      </c>
      <c r="H62" s="194">
        <f t="shared" ref="H62:H67" si="54">A62/14</f>
        <v>64.285714285714292</v>
      </c>
      <c r="I62" s="193">
        <f t="shared" ref="I62:I75" si="55">I67/2</f>
        <v>12.5</v>
      </c>
    </row>
    <row r="63" spans="1:12">
      <c r="A63" s="194">
        <f t="shared" si="48"/>
        <v>1035</v>
      </c>
      <c r="B63" s="194">
        <f t="shared" si="49"/>
        <v>345</v>
      </c>
      <c r="C63" s="194">
        <f t="shared" si="50"/>
        <v>129.375</v>
      </c>
      <c r="D63" s="194"/>
      <c r="E63" s="194">
        <f t="shared" si="51"/>
        <v>115</v>
      </c>
      <c r="F63" s="194">
        <f t="shared" si="52"/>
        <v>103.5</v>
      </c>
      <c r="G63" s="194">
        <f t="shared" si="53"/>
        <v>86.25</v>
      </c>
      <c r="H63" s="194">
        <f t="shared" si="54"/>
        <v>73.928571428571431</v>
      </c>
      <c r="I63" s="193">
        <f t="shared" si="55"/>
        <v>14.375</v>
      </c>
    </row>
    <row r="64" spans="1:12">
      <c r="A64" s="194">
        <f t="shared" si="48"/>
        <v>1215</v>
      </c>
      <c r="B64" s="194">
        <f t="shared" si="49"/>
        <v>405</v>
      </c>
      <c r="C64" s="194">
        <f t="shared" si="50"/>
        <v>151.875</v>
      </c>
      <c r="D64" s="194"/>
      <c r="E64" s="194">
        <f t="shared" si="51"/>
        <v>135</v>
      </c>
      <c r="F64" s="194">
        <f t="shared" si="52"/>
        <v>121.5</v>
      </c>
      <c r="G64" s="194">
        <f t="shared" si="53"/>
        <v>101.25</v>
      </c>
      <c r="H64" s="194">
        <f t="shared" si="54"/>
        <v>86.785714285714292</v>
      </c>
      <c r="I64" s="193">
        <f t="shared" si="55"/>
        <v>16.875</v>
      </c>
    </row>
    <row r="65" spans="1:12">
      <c r="A65" s="194">
        <f t="shared" si="48"/>
        <v>1395</v>
      </c>
      <c r="B65" s="194">
        <f t="shared" si="49"/>
        <v>465</v>
      </c>
      <c r="C65" s="194">
        <f t="shared" si="50"/>
        <v>174.375</v>
      </c>
      <c r="D65" s="194"/>
      <c r="E65" s="194">
        <f t="shared" si="51"/>
        <v>155</v>
      </c>
      <c r="F65" s="194">
        <f t="shared" si="52"/>
        <v>139.5</v>
      </c>
      <c r="G65" s="194">
        <f t="shared" si="53"/>
        <v>116.25</v>
      </c>
      <c r="H65" s="194">
        <f t="shared" si="54"/>
        <v>99.642857142857139</v>
      </c>
      <c r="I65" s="193">
        <f t="shared" si="55"/>
        <v>19.375</v>
      </c>
    </row>
    <row r="66" spans="1:12">
      <c r="A66" s="194">
        <f t="shared" si="48"/>
        <v>1575</v>
      </c>
      <c r="B66" s="194">
        <f t="shared" si="49"/>
        <v>525</v>
      </c>
      <c r="C66" s="194">
        <f t="shared" si="50"/>
        <v>196.875</v>
      </c>
      <c r="D66" s="194"/>
      <c r="E66" s="194">
        <f t="shared" si="51"/>
        <v>175</v>
      </c>
      <c r="F66" s="194">
        <f t="shared" si="52"/>
        <v>157.5</v>
      </c>
      <c r="G66" s="194">
        <f t="shared" si="53"/>
        <v>131.25</v>
      </c>
      <c r="H66" s="194">
        <f t="shared" si="54"/>
        <v>112.5</v>
      </c>
      <c r="I66" s="193">
        <f t="shared" si="55"/>
        <v>21.875</v>
      </c>
    </row>
    <row r="67" spans="1:12">
      <c r="A67" s="7">
        <f t="shared" si="48"/>
        <v>1800</v>
      </c>
      <c r="B67" s="7">
        <f t="shared" si="49"/>
        <v>600</v>
      </c>
      <c r="C67" s="7">
        <f t="shared" si="50"/>
        <v>225</v>
      </c>
      <c r="E67" s="7">
        <f t="shared" si="51"/>
        <v>200</v>
      </c>
      <c r="F67" s="7">
        <f t="shared" si="52"/>
        <v>180</v>
      </c>
      <c r="G67" s="7">
        <f t="shared" si="53"/>
        <v>150</v>
      </c>
      <c r="H67" s="7">
        <f t="shared" si="54"/>
        <v>128.57142857142858</v>
      </c>
      <c r="I67">
        <f t="shared" si="55"/>
        <v>25</v>
      </c>
    </row>
    <row r="68" spans="1:12">
      <c r="A68" s="7">
        <f t="shared" si="48"/>
        <v>2070</v>
      </c>
      <c r="B68" s="7">
        <f>A68/3</f>
        <v>690</v>
      </c>
      <c r="C68" s="7">
        <f>A68/8</f>
        <v>258.75</v>
      </c>
      <c r="E68" s="7">
        <f>A68/9</f>
        <v>230</v>
      </c>
      <c r="F68" s="7">
        <f>A68/10</f>
        <v>207</v>
      </c>
      <c r="G68" s="7">
        <f>A68/12</f>
        <v>172.5</v>
      </c>
      <c r="H68" s="7">
        <f>A68/14</f>
        <v>147.85714285714286</v>
      </c>
      <c r="I68">
        <f t="shared" si="55"/>
        <v>28.75</v>
      </c>
    </row>
    <row r="69" spans="1:12">
      <c r="A69" s="7">
        <f t="shared" si="48"/>
        <v>2430</v>
      </c>
      <c r="B69" s="7">
        <f t="shared" ref="B69:B87" si="56">A69/3</f>
        <v>810</v>
      </c>
      <c r="C69" s="7">
        <f t="shared" ref="C69:C87" si="57">A69/8</f>
        <v>303.75</v>
      </c>
      <c r="E69" s="7">
        <f t="shared" ref="E69:E87" si="58">A69/9</f>
        <v>270</v>
      </c>
      <c r="F69" s="7">
        <f t="shared" ref="F69:F87" si="59">A69/10</f>
        <v>243</v>
      </c>
      <c r="G69" s="7">
        <f t="shared" ref="G69:G87" si="60">A69/12</f>
        <v>202.5</v>
      </c>
      <c r="H69" s="7">
        <f t="shared" ref="H69:H87" si="61">A69/14</f>
        <v>173.57142857142858</v>
      </c>
      <c r="I69">
        <f t="shared" si="55"/>
        <v>33.75</v>
      </c>
    </row>
    <row r="70" spans="1:12">
      <c r="A70" s="7">
        <f t="shared" si="48"/>
        <v>2790</v>
      </c>
      <c r="B70" s="7">
        <f t="shared" si="56"/>
        <v>930</v>
      </c>
      <c r="C70" s="7">
        <f t="shared" si="57"/>
        <v>348.75</v>
      </c>
      <c r="E70" s="7">
        <f t="shared" si="58"/>
        <v>310</v>
      </c>
      <c r="F70" s="7">
        <f t="shared" si="59"/>
        <v>279</v>
      </c>
      <c r="G70" s="7">
        <f t="shared" si="60"/>
        <v>232.5</v>
      </c>
      <c r="H70" s="7">
        <f t="shared" si="61"/>
        <v>199.28571428571428</v>
      </c>
      <c r="I70">
        <f t="shared" si="55"/>
        <v>38.75</v>
      </c>
    </row>
    <row r="71" spans="1:12">
      <c r="A71" s="7">
        <f t="shared" si="48"/>
        <v>3150</v>
      </c>
      <c r="B71" s="7">
        <f t="shared" si="56"/>
        <v>1050</v>
      </c>
      <c r="C71" s="7">
        <f t="shared" si="57"/>
        <v>393.75</v>
      </c>
      <c r="E71" s="7">
        <f t="shared" si="58"/>
        <v>350</v>
      </c>
      <c r="F71" s="7">
        <f t="shared" si="59"/>
        <v>315</v>
      </c>
      <c r="G71" s="7">
        <f t="shared" si="60"/>
        <v>262.5</v>
      </c>
      <c r="H71" s="7">
        <f t="shared" si="61"/>
        <v>225</v>
      </c>
      <c r="I71">
        <f t="shared" si="55"/>
        <v>43.75</v>
      </c>
    </row>
    <row r="72" spans="1:12">
      <c r="A72" s="7">
        <f t="shared" ref="A72:A83" si="62">72*I72</f>
        <v>3600</v>
      </c>
      <c r="B72" s="7">
        <f t="shared" si="56"/>
        <v>1200</v>
      </c>
      <c r="C72" s="7">
        <f t="shared" si="57"/>
        <v>450</v>
      </c>
      <c r="E72" s="7">
        <f t="shared" si="58"/>
        <v>400</v>
      </c>
      <c r="F72" s="7">
        <f t="shared" si="59"/>
        <v>360</v>
      </c>
      <c r="G72" s="7">
        <f t="shared" si="60"/>
        <v>300</v>
      </c>
      <c r="H72" s="7">
        <f t="shared" si="61"/>
        <v>257.14285714285717</v>
      </c>
      <c r="I72">
        <f t="shared" si="55"/>
        <v>50</v>
      </c>
    </row>
    <row r="73" spans="1:12">
      <c r="A73" s="7">
        <f t="shared" si="62"/>
        <v>4140</v>
      </c>
      <c r="B73" s="7">
        <f t="shared" si="56"/>
        <v>1380</v>
      </c>
      <c r="C73" s="7">
        <f t="shared" si="57"/>
        <v>517.5</v>
      </c>
      <c r="E73" s="7">
        <f t="shared" si="58"/>
        <v>460</v>
      </c>
      <c r="F73" s="7">
        <f t="shared" si="59"/>
        <v>414</v>
      </c>
      <c r="G73" s="7">
        <f t="shared" si="60"/>
        <v>345</v>
      </c>
      <c r="H73" s="7">
        <f t="shared" si="61"/>
        <v>295.71428571428572</v>
      </c>
      <c r="I73">
        <f t="shared" si="55"/>
        <v>57.5</v>
      </c>
    </row>
    <row r="74" spans="1:12">
      <c r="A74" s="7">
        <f t="shared" si="62"/>
        <v>4860</v>
      </c>
      <c r="B74" s="7">
        <f t="shared" si="56"/>
        <v>1620</v>
      </c>
      <c r="C74" s="7">
        <f t="shared" si="57"/>
        <v>607.5</v>
      </c>
      <c r="E74" s="7">
        <f t="shared" si="58"/>
        <v>540</v>
      </c>
      <c r="F74" s="7">
        <f t="shared" si="59"/>
        <v>486</v>
      </c>
      <c r="G74" s="7">
        <f t="shared" si="60"/>
        <v>405</v>
      </c>
      <c r="H74" s="7">
        <f t="shared" si="61"/>
        <v>347.14285714285717</v>
      </c>
      <c r="I74">
        <f t="shared" si="55"/>
        <v>67.5</v>
      </c>
    </row>
    <row r="75" spans="1:12">
      <c r="A75" s="7">
        <f t="shared" si="62"/>
        <v>5580</v>
      </c>
      <c r="B75" s="7">
        <f t="shared" si="56"/>
        <v>1860</v>
      </c>
      <c r="C75" s="7">
        <f t="shared" si="57"/>
        <v>697.5</v>
      </c>
      <c r="E75" s="7">
        <f t="shared" si="58"/>
        <v>620</v>
      </c>
      <c r="F75" s="7">
        <f t="shared" si="59"/>
        <v>558</v>
      </c>
      <c r="G75" s="7">
        <f t="shared" si="60"/>
        <v>465</v>
      </c>
      <c r="H75" s="7">
        <f t="shared" si="61"/>
        <v>398.57142857142856</v>
      </c>
      <c r="I75">
        <f t="shared" si="55"/>
        <v>77.5</v>
      </c>
    </row>
    <row r="76" spans="1:12">
      <c r="A76" s="7">
        <f t="shared" si="62"/>
        <v>6300</v>
      </c>
      <c r="B76" s="7">
        <f t="shared" si="56"/>
        <v>2100</v>
      </c>
      <c r="C76" s="7">
        <f t="shared" si="57"/>
        <v>787.5</v>
      </c>
      <c r="E76" s="7">
        <f t="shared" si="58"/>
        <v>700</v>
      </c>
      <c r="F76" s="7">
        <f t="shared" si="59"/>
        <v>630</v>
      </c>
      <c r="G76" s="7">
        <f t="shared" si="60"/>
        <v>525</v>
      </c>
      <c r="H76" s="7">
        <f t="shared" si="61"/>
        <v>450</v>
      </c>
      <c r="I76">
        <f>I81/2</f>
        <v>87.5</v>
      </c>
    </row>
    <row r="77" spans="1:12">
      <c r="A77" s="59">
        <f t="shared" si="62"/>
        <v>7200</v>
      </c>
      <c r="B77" s="59">
        <f t="shared" si="56"/>
        <v>2400</v>
      </c>
      <c r="C77" s="59">
        <f t="shared" si="57"/>
        <v>900</v>
      </c>
      <c r="D77" s="59"/>
      <c r="E77" s="59">
        <f t="shared" si="58"/>
        <v>800</v>
      </c>
      <c r="F77" s="59">
        <f t="shared" si="59"/>
        <v>720</v>
      </c>
      <c r="G77" s="59">
        <f t="shared" si="60"/>
        <v>600</v>
      </c>
      <c r="H77" s="59">
        <f t="shared" si="61"/>
        <v>514.28571428571433</v>
      </c>
      <c r="I77" s="46">
        <v>100</v>
      </c>
    </row>
    <row r="78" spans="1:12">
      <c r="A78" s="7">
        <f t="shared" si="62"/>
        <v>8280</v>
      </c>
      <c r="B78" s="7">
        <f t="shared" si="56"/>
        <v>2760</v>
      </c>
      <c r="C78" s="7">
        <f t="shared" si="57"/>
        <v>1035</v>
      </c>
      <c r="E78" s="7">
        <f t="shared" si="58"/>
        <v>920</v>
      </c>
      <c r="F78" s="7">
        <f t="shared" si="59"/>
        <v>828</v>
      </c>
      <c r="G78" s="7">
        <f t="shared" si="60"/>
        <v>690</v>
      </c>
      <c r="H78" s="7">
        <f t="shared" si="61"/>
        <v>591.42857142857144</v>
      </c>
      <c r="I78" s="46">
        <v>115</v>
      </c>
      <c r="J78">
        <f>I78/I77</f>
        <v>1.1499999999999999</v>
      </c>
      <c r="K78">
        <f>EXP(LN(2)/5)</f>
        <v>1.1486983549970351</v>
      </c>
      <c r="L78" s="195">
        <f>(J78-K78)/K78</f>
        <v>1.1331477905426031E-3</v>
      </c>
    </row>
    <row r="79" spans="1:12">
      <c r="A79" s="7">
        <f t="shared" si="62"/>
        <v>9720</v>
      </c>
      <c r="B79" s="7">
        <f t="shared" si="56"/>
        <v>3240</v>
      </c>
      <c r="C79" s="7">
        <f t="shared" si="57"/>
        <v>1215</v>
      </c>
      <c r="E79" s="7">
        <f t="shared" si="58"/>
        <v>1080</v>
      </c>
      <c r="F79" s="7">
        <f t="shared" si="59"/>
        <v>972</v>
      </c>
      <c r="G79" s="7">
        <f t="shared" si="60"/>
        <v>810</v>
      </c>
      <c r="H79" s="7">
        <f t="shared" si="61"/>
        <v>694.28571428571433</v>
      </c>
      <c r="I79" s="46">
        <v>135</v>
      </c>
      <c r="J79">
        <f>I79/I78</f>
        <v>1.173913043478261</v>
      </c>
      <c r="K79">
        <f t="shared" ref="K79:K82" si="63">EXP(LN(2)/5)</f>
        <v>1.1486983549970351</v>
      </c>
      <c r="L79" s="195">
        <f t="shared" ref="L79:L82" si="64">(J79-K79)/K79</f>
        <v>2.195066126066748E-2</v>
      </c>
    </row>
    <row r="80" spans="1:12">
      <c r="A80" s="7">
        <f t="shared" si="62"/>
        <v>11160</v>
      </c>
      <c r="B80" s="7">
        <f t="shared" si="56"/>
        <v>3720</v>
      </c>
      <c r="C80" s="7">
        <f t="shared" si="57"/>
        <v>1395</v>
      </c>
      <c r="E80" s="7">
        <f t="shared" si="58"/>
        <v>1240</v>
      </c>
      <c r="F80" s="7">
        <f t="shared" si="59"/>
        <v>1116</v>
      </c>
      <c r="G80" s="7">
        <f t="shared" si="60"/>
        <v>930</v>
      </c>
      <c r="H80" s="7">
        <f t="shared" si="61"/>
        <v>797.14285714285711</v>
      </c>
      <c r="I80" s="46">
        <v>155</v>
      </c>
      <c r="J80">
        <f>I80/I79</f>
        <v>1.1481481481481481</v>
      </c>
      <c r="K80">
        <f t="shared" si="63"/>
        <v>1.1486983549970351</v>
      </c>
      <c r="L80" s="195">
        <f t="shared" si="64"/>
        <v>-4.7898288222792692E-4</v>
      </c>
    </row>
    <row r="81" spans="1:12">
      <c r="A81" s="7">
        <f t="shared" si="62"/>
        <v>12600</v>
      </c>
      <c r="B81" s="7">
        <f t="shared" si="56"/>
        <v>4200</v>
      </c>
      <c r="C81" s="7">
        <f t="shared" si="57"/>
        <v>1575</v>
      </c>
      <c r="E81" s="7">
        <f t="shared" si="58"/>
        <v>1400</v>
      </c>
      <c r="F81" s="7">
        <f t="shared" si="59"/>
        <v>1260</v>
      </c>
      <c r="G81" s="7">
        <f t="shared" si="60"/>
        <v>1050</v>
      </c>
      <c r="H81" s="7">
        <f t="shared" si="61"/>
        <v>900</v>
      </c>
      <c r="I81" s="46">
        <v>175</v>
      </c>
      <c r="J81">
        <f>I81/I80</f>
        <v>1.1290322580645162</v>
      </c>
      <c r="K81">
        <f t="shared" si="63"/>
        <v>1.1486983549970351</v>
      </c>
      <c r="L81" s="195">
        <f t="shared" si="64"/>
        <v>-1.7120331762440474E-2</v>
      </c>
    </row>
    <row r="82" spans="1:12">
      <c r="A82" s="7">
        <f t="shared" si="62"/>
        <v>14400</v>
      </c>
      <c r="B82" s="7">
        <f t="shared" si="56"/>
        <v>4800</v>
      </c>
      <c r="C82" s="7">
        <f t="shared" si="57"/>
        <v>1800</v>
      </c>
      <c r="E82" s="7">
        <f t="shared" si="58"/>
        <v>1600</v>
      </c>
      <c r="F82" s="7">
        <f t="shared" si="59"/>
        <v>1440</v>
      </c>
      <c r="G82" s="7">
        <f t="shared" si="60"/>
        <v>1200</v>
      </c>
      <c r="H82" s="7">
        <f t="shared" si="61"/>
        <v>1028.5714285714287</v>
      </c>
      <c r="I82" s="196">
        <f>I77*2</f>
        <v>200</v>
      </c>
      <c r="J82">
        <f>I82/I81</f>
        <v>1.1428571428571428</v>
      </c>
      <c r="K82">
        <f t="shared" si="63"/>
        <v>1.1486983549970351</v>
      </c>
      <c r="L82" s="195">
        <f t="shared" si="64"/>
        <v>-5.0850705187154037E-3</v>
      </c>
    </row>
    <row r="83" spans="1:12">
      <c r="A83" s="194">
        <f t="shared" si="62"/>
        <v>16560</v>
      </c>
      <c r="B83" s="194">
        <f t="shared" si="56"/>
        <v>5520</v>
      </c>
      <c r="C83" s="194">
        <f t="shared" si="57"/>
        <v>2070</v>
      </c>
      <c r="D83" s="194"/>
      <c r="E83" s="194">
        <f t="shared" si="58"/>
        <v>1840</v>
      </c>
      <c r="F83" s="194">
        <f t="shared" si="59"/>
        <v>1656</v>
      </c>
      <c r="G83" s="194">
        <f t="shared" si="60"/>
        <v>1380</v>
      </c>
      <c r="H83" s="194">
        <f t="shared" si="61"/>
        <v>1182.8571428571429</v>
      </c>
      <c r="I83" s="193">
        <f>I78*2</f>
        <v>230</v>
      </c>
    </row>
    <row r="84" spans="1:12">
      <c r="A84" s="194">
        <f t="shared" ref="A84:A86" si="65">72*I84</f>
        <v>19440</v>
      </c>
      <c r="B84" s="194">
        <f t="shared" si="56"/>
        <v>6480</v>
      </c>
      <c r="C84" s="194">
        <f t="shared" si="57"/>
        <v>2430</v>
      </c>
      <c r="D84" s="194"/>
      <c r="E84" s="194">
        <f t="shared" si="58"/>
        <v>2160</v>
      </c>
      <c r="F84" s="194">
        <f t="shared" si="59"/>
        <v>1944</v>
      </c>
      <c r="G84" s="194">
        <f t="shared" si="60"/>
        <v>1620</v>
      </c>
      <c r="H84" s="194">
        <f t="shared" si="61"/>
        <v>1388.5714285714287</v>
      </c>
      <c r="I84" s="193">
        <f t="shared" ref="I84:I86" si="66">I79*2</f>
        <v>270</v>
      </c>
    </row>
    <row r="85" spans="1:12">
      <c r="A85" s="194">
        <f t="shared" si="65"/>
        <v>22320</v>
      </c>
      <c r="B85" s="194">
        <f t="shared" si="56"/>
        <v>7440</v>
      </c>
      <c r="C85" s="194">
        <f t="shared" si="57"/>
        <v>2790</v>
      </c>
      <c r="D85" s="194"/>
      <c r="E85" s="194">
        <f t="shared" si="58"/>
        <v>2480</v>
      </c>
      <c r="F85" s="194">
        <f t="shared" si="59"/>
        <v>2232</v>
      </c>
      <c r="G85" s="194">
        <f t="shared" si="60"/>
        <v>1860</v>
      </c>
      <c r="H85" s="194">
        <f t="shared" si="61"/>
        <v>1594.2857142857142</v>
      </c>
      <c r="I85" s="193">
        <f t="shared" si="66"/>
        <v>310</v>
      </c>
    </row>
    <row r="86" spans="1:12">
      <c r="A86" s="194">
        <f t="shared" si="65"/>
        <v>25200</v>
      </c>
      <c r="B86" s="194">
        <f t="shared" si="56"/>
        <v>8400</v>
      </c>
      <c r="C86" s="194">
        <f t="shared" si="57"/>
        <v>3150</v>
      </c>
      <c r="D86" s="194"/>
      <c r="E86" s="194">
        <f t="shared" si="58"/>
        <v>2800</v>
      </c>
      <c r="F86" s="194">
        <f t="shared" si="59"/>
        <v>2520</v>
      </c>
      <c r="G86" s="194">
        <f t="shared" si="60"/>
        <v>2100</v>
      </c>
      <c r="H86" s="194">
        <f t="shared" si="61"/>
        <v>1800</v>
      </c>
      <c r="I86" s="193">
        <f t="shared" si="66"/>
        <v>350</v>
      </c>
    </row>
    <row r="87" spans="1:12">
      <c r="A87" s="194">
        <f>72*I87</f>
        <v>28800</v>
      </c>
      <c r="B87" s="194">
        <f t="shared" si="56"/>
        <v>9600</v>
      </c>
      <c r="C87" s="194">
        <f t="shared" si="57"/>
        <v>3600</v>
      </c>
      <c r="D87" s="194"/>
      <c r="E87" s="194">
        <f t="shared" si="58"/>
        <v>3200</v>
      </c>
      <c r="F87" s="194">
        <f t="shared" si="59"/>
        <v>2880</v>
      </c>
      <c r="G87" s="194">
        <f t="shared" si="60"/>
        <v>2400</v>
      </c>
      <c r="H87" s="194">
        <f t="shared" si="61"/>
        <v>2057.1428571428573</v>
      </c>
      <c r="I87" s="193">
        <f>I82*2</f>
        <v>400</v>
      </c>
    </row>
    <row r="90" spans="1:12">
      <c r="A90" s="7" t="s">
        <v>714</v>
      </c>
      <c r="B90" s="7" t="s">
        <v>716</v>
      </c>
      <c r="C90" s="7" t="s">
        <v>710</v>
      </c>
      <c r="E90" s="7" t="s">
        <v>711</v>
      </c>
      <c r="F90" s="7" t="s">
        <v>712</v>
      </c>
      <c r="G90" s="7" t="s">
        <v>713</v>
      </c>
      <c r="H90" s="7" t="s">
        <v>717</v>
      </c>
      <c r="I90" t="s">
        <v>715</v>
      </c>
    </row>
    <row r="91" spans="1:12">
      <c r="A91" s="194">
        <f t="shared" ref="A91:A94" si="67">72*I91</f>
        <v>810</v>
      </c>
      <c r="B91" s="194">
        <f t="shared" ref="B91:B94" si="68">A91/3</f>
        <v>270</v>
      </c>
      <c r="C91" s="194">
        <f t="shared" ref="C91:C94" si="69">A91/8</f>
        <v>101.25</v>
      </c>
      <c r="D91" s="194"/>
      <c r="E91" s="194">
        <f t="shared" ref="E91:E94" si="70">A91/9</f>
        <v>90</v>
      </c>
      <c r="F91" s="194">
        <f t="shared" ref="F91:F94" si="71">A91/10</f>
        <v>81</v>
      </c>
      <c r="G91" s="194">
        <f t="shared" ref="G91:G94" si="72">A91/12</f>
        <v>67.5</v>
      </c>
      <c r="H91" s="194">
        <f t="shared" ref="H91:H94" si="73">A91/14</f>
        <v>57.857142857142854</v>
      </c>
      <c r="I91" s="193">
        <f t="shared" ref="I91:I94" si="74">I97/2</f>
        <v>11.25</v>
      </c>
    </row>
    <row r="92" spans="1:12">
      <c r="A92" s="194">
        <f t="shared" si="67"/>
        <v>900</v>
      </c>
      <c r="B92" s="194">
        <f t="shared" si="68"/>
        <v>300</v>
      </c>
      <c r="C92" s="194">
        <f t="shared" si="69"/>
        <v>112.5</v>
      </c>
      <c r="D92" s="194"/>
      <c r="E92" s="194">
        <f t="shared" si="70"/>
        <v>100</v>
      </c>
      <c r="F92" s="194">
        <f t="shared" si="71"/>
        <v>90</v>
      </c>
      <c r="G92" s="194">
        <f t="shared" si="72"/>
        <v>75</v>
      </c>
      <c r="H92" s="194">
        <f t="shared" si="73"/>
        <v>64.285714285714292</v>
      </c>
      <c r="I92" s="193">
        <f t="shared" si="74"/>
        <v>12.5</v>
      </c>
    </row>
    <row r="93" spans="1:12">
      <c r="A93" s="194">
        <f t="shared" si="67"/>
        <v>990</v>
      </c>
      <c r="B93" s="194">
        <f t="shared" si="68"/>
        <v>330</v>
      </c>
      <c r="C93" s="194">
        <f t="shared" si="69"/>
        <v>123.75</v>
      </c>
      <c r="D93" s="194"/>
      <c r="E93" s="194">
        <f t="shared" si="70"/>
        <v>110</v>
      </c>
      <c r="F93" s="194">
        <f t="shared" si="71"/>
        <v>99</v>
      </c>
      <c r="G93" s="194">
        <f t="shared" si="72"/>
        <v>82.5</v>
      </c>
      <c r="H93" s="194">
        <f t="shared" si="73"/>
        <v>70.714285714285708</v>
      </c>
      <c r="I93" s="193">
        <f t="shared" si="74"/>
        <v>13.75</v>
      </c>
    </row>
    <row r="94" spans="1:12">
      <c r="A94" s="194">
        <f t="shared" si="67"/>
        <v>1125</v>
      </c>
      <c r="B94" s="194">
        <f t="shared" si="68"/>
        <v>375</v>
      </c>
      <c r="C94" s="194">
        <f t="shared" si="69"/>
        <v>140.625</v>
      </c>
      <c r="D94" s="194"/>
      <c r="E94" s="194">
        <f t="shared" si="70"/>
        <v>125</v>
      </c>
      <c r="F94" s="194">
        <f t="shared" si="71"/>
        <v>112.5</v>
      </c>
      <c r="G94" s="194">
        <f t="shared" si="72"/>
        <v>93.75</v>
      </c>
      <c r="H94" s="194">
        <f t="shared" si="73"/>
        <v>80.357142857142861</v>
      </c>
      <c r="I94" s="193">
        <f t="shared" si="74"/>
        <v>15.625</v>
      </c>
    </row>
    <row r="95" spans="1:12">
      <c r="A95" s="194">
        <f t="shared" ref="A95" si="75">72*I95</f>
        <v>1260</v>
      </c>
      <c r="B95" s="194">
        <f t="shared" ref="B95:B100" si="76">A95/3</f>
        <v>420</v>
      </c>
      <c r="C95" s="194">
        <f t="shared" ref="C95:C100" si="77">A95/8</f>
        <v>157.5</v>
      </c>
      <c r="D95" s="194"/>
      <c r="E95" s="194">
        <f t="shared" ref="E95" si="78">A95/9</f>
        <v>140</v>
      </c>
      <c r="F95" s="194">
        <f t="shared" ref="F95" si="79">A95/10</f>
        <v>126</v>
      </c>
      <c r="G95" s="194">
        <f t="shared" ref="G95" si="80">A95/12</f>
        <v>105</v>
      </c>
      <c r="H95" s="194">
        <f t="shared" ref="H95" si="81">A95/14</f>
        <v>90</v>
      </c>
      <c r="I95" s="193">
        <f t="shared" ref="I95:I108" si="82">I101/2</f>
        <v>17.5</v>
      </c>
    </row>
    <row r="96" spans="1:12">
      <c r="A96" s="194">
        <f t="shared" ref="A96:A100" si="83">72*I96</f>
        <v>1440</v>
      </c>
      <c r="B96" s="194">
        <f t="shared" si="76"/>
        <v>480</v>
      </c>
      <c r="C96" s="194">
        <f t="shared" si="77"/>
        <v>180</v>
      </c>
      <c r="D96" s="194"/>
      <c r="E96" s="194">
        <f t="shared" ref="E96:E100" si="84">A96/9</f>
        <v>160</v>
      </c>
      <c r="F96" s="194">
        <f t="shared" ref="F96:F100" si="85">A96/10</f>
        <v>144</v>
      </c>
      <c r="G96" s="194">
        <f t="shared" ref="G96:G100" si="86">A96/12</f>
        <v>120</v>
      </c>
      <c r="H96" s="194">
        <f t="shared" ref="H96:H100" si="87">A96/14</f>
        <v>102.85714285714286</v>
      </c>
      <c r="I96" s="193">
        <f t="shared" si="82"/>
        <v>20</v>
      </c>
    </row>
    <row r="97" spans="1:12">
      <c r="A97" s="194">
        <f t="shared" si="83"/>
        <v>1620</v>
      </c>
      <c r="B97" s="194">
        <f t="shared" si="76"/>
        <v>540</v>
      </c>
      <c r="C97" s="194">
        <f t="shared" si="77"/>
        <v>202.5</v>
      </c>
      <c r="D97" s="194"/>
      <c r="E97" s="194">
        <f t="shared" si="84"/>
        <v>180</v>
      </c>
      <c r="F97" s="194">
        <f t="shared" si="85"/>
        <v>162</v>
      </c>
      <c r="G97" s="194">
        <f t="shared" si="86"/>
        <v>135</v>
      </c>
      <c r="H97" s="194">
        <f t="shared" si="87"/>
        <v>115.71428571428571</v>
      </c>
      <c r="I97" s="193">
        <f t="shared" si="82"/>
        <v>22.5</v>
      </c>
    </row>
    <row r="98" spans="1:12">
      <c r="A98" s="194">
        <f t="shared" si="83"/>
        <v>1800</v>
      </c>
      <c r="B98" s="194">
        <f t="shared" si="76"/>
        <v>600</v>
      </c>
      <c r="C98" s="194">
        <f t="shared" si="77"/>
        <v>225</v>
      </c>
      <c r="D98" s="194"/>
      <c r="E98" s="194">
        <f t="shared" si="84"/>
        <v>200</v>
      </c>
      <c r="F98" s="194">
        <f t="shared" si="85"/>
        <v>180</v>
      </c>
      <c r="G98" s="194">
        <f t="shared" si="86"/>
        <v>150</v>
      </c>
      <c r="H98" s="194">
        <f t="shared" si="87"/>
        <v>128.57142857142858</v>
      </c>
      <c r="I98" s="193">
        <f t="shared" si="82"/>
        <v>25</v>
      </c>
    </row>
    <row r="99" spans="1:12">
      <c r="A99" s="194">
        <f t="shared" si="83"/>
        <v>1980</v>
      </c>
      <c r="B99" s="194">
        <f t="shared" si="76"/>
        <v>660</v>
      </c>
      <c r="C99" s="194">
        <f t="shared" si="77"/>
        <v>247.5</v>
      </c>
      <c r="D99" s="194"/>
      <c r="E99" s="194">
        <f t="shared" si="84"/>
        <v>220</v>
      </c>
      <c r="F99" s="194">
        <f t="shared" si="85"/>
        <v>198</v>
      </c>
      <c r="G99" s="194">
        <f t="shared" si="86"/>
        <v>165</v>
      </c>
      <c r="H99" s="194">
        <f t="shared" si="87"/>
        <v>141.42857142857142</v>
      </c>
      <c r="I99" s="193">
        <f t="shared" si="82"/>
        <v>27.5</v>
      </c>
    </row>
    <row r="100" spans="1:12">
      <c r="A100" s="7">
        <f t="shared" si="83"/>
        <v>2250</v>
      </c>
      <c r="B100" s="7">
        <f t="shared" si="76"/>
        <v>750</v>
      </c>
      <c r="C100" s="7">
        <f t="shared" si="77"/>
        <v>281.25</v>
      </c>
      <c r="E100" s="7">
        <f t="shared" si="84"/>
        <v>250</v>
      </c>
      <c r="F100" s="7">
        <f t="shared" si="85"/>
        <v>225</v>
      </c>
      <c r="G100" s="7">
        <f t="shared" si="86"/>
        <v>187.5</v>
      </c>
      <c r="H100" s="7">
        <f t="shared" si="87"/>
        <v>160.71428571428572</v>
      </c>
      <c r="I100">
        <f t="shared" si="82"/>
        <v>31.25</v>
      </c>
    </row>
    <row r="101" spans="1:12">
      <c r="A101" s="7">
        <f t="shared" ref="A101:A104" si="88">72*I101</f>
        <v>2520</v>
      </c>
      <c r="B101" s="7">
        <f>A101/3</f>
        <v>840</v>
      </c>
      <c r="C101" s="7">
        <f>A101/8</f>
        <v>315</v>
      </c>
      <c r="E101" s="7">
        <f>A101/9</f>
        <v>280</v>
      </c>
      <c r="F101" s="7">
        <f>A101/10</f>
        <v>252</v>
      </c>
      <c r="G101" s="7">
        <f>A101/12</f>
        <v>210</v>
      </c>
      <c r="H101" s="7">
        <f>A101/14</f>
        <v>180</v>
      </c>
      <c r="I101">
        <f t="shared" si="82"/>
        <v>35</v>
      </c>
    </row>
    <row r="102" spans="1:12">
      <c r="A102" s="7">
        <f t="shared" si="88"/>
        <v>2880</v>
      </c>
      <c r="B102" s="7">
        <f t="shared" ref="B102:B122" si="89">A102/3</f>
        <v>960</v>
      </c>
      <c r="C102" s="7">
        <f t="shared" ref="C102:C122" si="90">A102/8</f>
        <v>360</v>
      </c>
      <c r="E102" s="7">
        <f t="shared" ref="E102:E116" si="91">A102/9</f>
        <v>320</v>
      </c>
      <c r="F102" s="7">
        <f t="shared" ref="F102:F116" si="92">A102/10</f>
        <v>288</v>
      </c>
      <c r="G102" s="7">
        <f t="shared" ref="G102:G116" si="93">A102/12</f>
        <v>240</v>
      </c>
      <c r="H102" s="7">
        <f t="shared" ref="H102:H116" si="94">A102/14</f>
        <v>205.71428571428572</v>
      </c>
      <c r="I102">
        <f t="shared" si="82"/>
        <v>40</v>
      </c>
    </row>
    <row r="103" spans="1:12">
      <c r="A103" s="7">
        <f t="shared" si="88"/>
        <v>3240</v>
      </c>
      <c r="B103" s="7">
        <f t="shared" si="89"/>
        <v>1080</v>
      </c>
      <c r="C103" s="7">
        <f t="shared" si="90"/>
        <v>405</v>
      </c>
      <c r="E103" s="7">
        <f t="shared" si="91"/>
        <v>360</v>
      </c>
      <c r="F103" s="7">
        <f t="shared" si="92"/>
        <v>324</v>
      </c>
      <c r="G103" s="7">
        <f t="shared" si="93"/>
        <v>270</v>
      </c>
      <c r="H103" s="7">
        <f t="shared" si="94"/>
        <v>231.42857142857142</v>
      </c>
      <c r="I103">
        <f t="shared" si="82"/>
        <v>45</v>
      </c>
    </row>
    <row r="104" spans="1:12">
      <c r="A104" s="7">
        <f t="shared" si="88"/>
        <v>3600</v>
      </c>
      <c r="B104" s="7">
        <f t="shared" si="89"/>
        <v>1200</v>
      </c>
      <c r="C104" s="7">
        <f t="shared" si="90"/>
        <v>450</v>
      </c>
      <c r="E104" s="7">
        <f t="shared" si="91"/>
        <v>400</v>
      </c>
      <c r="F104" s="7">
        <f t="shared" si="92"/>
        <v>360</v>
      </c>
      <c r="G104" s="7">
        <f t="shared" si="93"/>
        <v>300</v>
      </c>
      <c r="H104" s="7">
        <f t="shared" si="94"/>
        <v>257.14285714285717</v>
      </c>
      <c r="I104">
        <f t="shared" si="82"/>
        <v>50</v>
      </c>
    </row>
    <row r="105" spans="1:12">
      <c r="A105" s="7">
        <f t="shared" ref="A105:A116" si="95">72*I105</f>
        <v>3960</v>
      </c>
      <c r="B105" s="7">
        <f t="shared" si="89"/>
        <v>1320</v>
      </c>
      <c r="C105" s="7">
        <f t="shared" si="90"/>
        <v>495</v>
      </c>
      <c r="E105" s="7">
        <f t="shared" si="91"/>
        <v>440</v>
      </c>
      <c r="F105" s="7">
        <f t="shared" si="92"/>
        <v>396</v>
      </c>
      <c r="G105" s="7">
        <f t="shared" si="93"/>
        <v>330</v>
      </c>
      <c r="H105" s="7">
        <f t="shared" si="94"/>
        <v>282.85714285714283</v>
      </c>
      <c r="I105">
        <f t="shared" si="82"/>
        <v>55</v>
      </c>
    </row>
    <row r="106" spans="1:12">
      <c r="A106" s="7">
        <f t="shared" si="95"/>
        <v>4500</v>
      </c>
      <c r="B106" s="7">
        <f t="shared" si="89"/>
        <v>1500</v>
      </c>
      <c r="C106" s="7">
        <f t="shared" si="90"/>
        <v>562.5</v>
      </c>
      <c r="E106" s="7">
        <f t="shared" si="91"/>
        <v>500</v>
      </c>
      <c r="F106" s="7">
        <f t="shared" si="92"/>
        <v>450</v>
      </c>
      <c r="G106" s="7">
        <f t="shared" si="93"/>
        <v>375</v>
      </c>
      <c r="H106" s="7">
        <f t="shared" si="94"/>
        <v>321.42857142857144</v>
      </c>
      <c r="I106">
        <f t="shared" si="82"/>
        <v>62.5</v>
      </c>
    </row>
    <row r="107" spans="1:12">
      <c r="A107" s="7">
        <f t="shared" si="95"/>
        <v>5040</v>
      </c>
      <c r="B107" s="7">
        <f t="shared" si="89"/>
        <v>1680</v>
      </c>
      <c r="C107" s="7">
        <f t="shared" si="90"/>
        <v>630</v>
      </c>
      <c r="E107" s="7">
        <f t="shared" si="91"/>
        <v>560</v>
      </c>
      <c r="F107" s="7">
        <f t="shared" si="92"/>
        <v>504</v>
      </c>
      <c r="G107" s="7">
        <f t="shared" si="93"/>
        <v>420</v>
      </c>
      <c r="H107" s="7">
        <f t="shared" si="94"/>
        <v>360</v>
      </c>
      <c r="I107">
        <f t="shared" si="82"/>
        <v>70</v>
      </c>
    </row>
    <row r="108" spans="1:12">
      <c r="A108" s="7">
        <f t="shared" si="95"/>
        <v>5760</v>
      </c>
      <c r="B108" s="7">
        <f t="shared" si="89"/>
        <v>1920</v>
      </c>
      <c r="C108" s="7">
        <f t="shared" si="90"/>
        <v>720</v>
      </c>
      <c r="E108" s="7">
        <f t="shared" si="91"/>
        <v>640</v>
      </c>
      <c r="F108" s="7">
        <f t="shared" si="92"/>
        <v>576</v>
      </c>
      <c r="G108" s="7">
        <f t="shared" si="93"/>
        <v>480</v>
      </c>
      <c r="H108" s="7">
        <f t="shared" si="94"/>
        <v>411.42857142857144</v>
      </c>
      <c r="I108">
        <f t="shared" si="82"/>
        <v>80</v>
      </c>
    </row>
    <row r="109" spans="1:12">
      <c r="A109" s="7">
        <f t="shared" si="95"/>
        <v>6480</v>
      </c>
      <c r="B109" s="7">
        <f t="shared" si="89"/>
        <v>2160</v>
      </c>
      <c r="C109" s="7">
        <f t="shared" si="90"/>
        <v>810</v>
      </c>
      <c r="E109" s="7">
        <f t="shared" si="91"/>
        <v>720</v>
      </c>
      <c r="F109" s="7">
        <f t="shared" si="92"/>
        <v>648</v>
      </c>
      <c r="G109" s="7">
        <f t="shared" si="93"/>
        <v>540</v>
      </c>
      <c r="H109" s="7">
        <f t="shared" si="94"/>
        <v>462.85714285714283</v>
      </c>
      <c r="I109">
        <f>I115/2</f>
        <v>90</v>
      </c>
    </row>
    <row r="110" spans="1:12">
      <c r="A110" s="59">
        <f t="shared" si="95"/>
        <v>7200</v>
      </c>
      <c r="B110" s="59">
        <f t="shared" si="89"/>
        <v>2400</v>
      </c>
      <c r="C110" s="59">
        <f t="shared" si="90"/>
        <v>900</v>
      </c>
      <c r="D110" s="59"/>
      <c r="E110" s="59">
        <f t="shared" si="91"/>
        <v>800</v>
      </c>
      <c r="F110" s="59">
        <f t="shared" si="92"/>
        <v>720</v>
      </c>
      <c r="G110" s="59">
        <f t="shared" si="93"/>
        <v>600</v>
      </c>
      <c r="H110" s="59">
        <f t="shared" si="94"/>
        <v>514.28571428571433</v>
      </c>
      <c r="I110" s="46">
        <v>100</v>
      </c>
    </row>
    <row r="111" spans="1:12">
      <c r="A111" s="7">
        <f t="shared" si="95"/>
        <v>7920</v>
      </c>
      <c r="B111" s="7">
        <f t="shared" si="89"/>
        <v>2640</v>
      </c>
      <c r="C111" s="7">
        <f t="shared" si="90"/>
        <v>990</v>
      </c>
      <c r="E111" s="7">
        <f t="shared" si="91"/>
        <v>880</v>
      </c>
      <c r="F111" s="7">
        <f t="shared" si="92"/>
        <v>792</v>
      </c>
      <c r="G111" s="7">
        <f t="shared" si="93"/>
        <v>660</v>
      </c>
      <c r="H111" s="7">
        <f t="shared" si="94"/>
        <v>565.71428571428567</v>
      </c>
      <c r="I111" s="46">
        <v>110</v>
      </c>
      <c r="J111">
        <f t="shared" ref="J111:J116" si="96">I111/I110</f>
        <v>1.1000000000000001</v>
      </c>
      <c r="K111">
        <f>EXP(LN(2)/6)</f>
        <v>1.122462048309373</v>
      </c>
      <c r="L111" s="195">
        <f>(J111-K111)/K111</f>
        <v>-2.0011410045626718E-2</v>
      </c>
    </row>
    <row r="112" spans="1:12">
      <c r="A112" s="7">
        <f t="shared" si="95"/>
        <v>9000</v>
      </c>
      <c r="B112" s="7">
        <f t="shared" si="89"/>
        <v>3000</v>
      </c>
      <c r="C112" s="7">
        <f t="shared" si="90"/>
        <v>1125</v>
      </c>
      <c r="E112" s="7">
        <f t="shared" si="91"/>
        <v>1000</v>
      </c>
      <c r="F112" s="7">
        <f t="shared" si="92"/>
        <v>900</v>
      </c>
      <c r="G112" s="7">
        <f t="shared" si="93"/>
        <v>750</v>
      </c>
      <c r="H112" s="7">
        <f t="shared" si="94"/>
        <v>642.85714285714289</v>
      </c>
      <c r="I112" s="46">
        <v>125</v>
      </c>
      <c r="J112">
        <f t="shared" si="96"/>
        <v>1.1363636363636365</v>
      </c>
      <c r="K112">
        <f t="shared" ref="K112:K116" si="97">EXP(LN(2)/6)</f>
        <v>1.122462048309373</v>
      </c>
      <c r="L112" s="195">
        <f t="shared" ref="L112:L114" si="98">(J112-K112)/K112</f>
        <v>1.2384906977658358E-2</v>
      </c>
    </row>
    <row r="113" spans="1:12">
      <c r="A113" s="7">
        <f t="shared" si="95"/>
        <v>10080</v>
      </c>
      <c r="B113" s="7">
        <f t="shared" si="89"/>
        <v>3360</v>
      </c>
      <c r="C113" s="7">
        <f t="shared" si="90"/>
        <v>1260</v>
      </c>
      <c r="E113" s="7">
        <f t="shared" si="91"/>
        <v>1120</v>
      </c>
      <c r="F113" s="7">
        <f t="shared" si="92"/>
        <v>1008</v>
      </c>
      <c r="G113" s="7">
        <f t="shared" si="93"/>
        <v>840</v>
      </c>
      <c r="H113" s="7">
        <f t="shared" si="94"/>
        <v>720</v>
      </c>
      <c r="I113" s="46">
        <v>140</v>
      </c>
      <c r="J113">
        <f t="shared" si="96"/>
        <v>1.1200000000000001</v>
      </c>
      <c r="K113">
        <f t="shared" si="97"/>
        <v>1.122462048309373</v>
      </c>
      <c r="L113" s="195">
        <f t="shared" si="98"/>
        <v>-2.1934356828199157E-3</v>
      </c>
    </row>
    <row r="114" spans="1:12">
      <c r="A114" s="7">
        <f t="shared" si="95"/>
        <v>11520</v>
      </c>
      <c r="B114" s="7">
        <f t="shared" si="89"/>
        <v>3840</v>
      </c>
      <c r="C114" s="7">
        <f t="shared" si="90"/>
        <v>1440</v>
      </c>
      <c r="E114" s="7">
        <f t="shared" si="91"/>
        <v>1280</v>
      </c>
      <c r="F114" s="7">
        <f t="shared" si="92"/>
        <v>1152</v>
      </c>
      <c r="G114" s="7">
        <f t="shared" si="93"/>
        <v>960</v>
      </c>
      <c r="H114" s="7">
        <f t="shared" si="94"/>
        <v>822.85714285714289</v>
      </c>
      <c r="I114" s="46">
        <v>160</v>
      </c>
      <c r="J114">
        <f t="shared" si="96"/>
        <v>1.1428571428571428</v>
      </c>
      <c r="K114">
        <f t="shared" si="97"/>
        <v>1.122462048309373</v>
      </c>
      <c r="L114" s="195">
        <f t="shared" si="98"/>
        <v>1.8169963588959115E-2</v>
      </c>
    </row>
    <row r="115" spans="1:12">
      <c r="A115" s="7">
        <f t="shared" si="95"/>
        <v>12960</v>
      </c>
      <c r="B115" s="7">
        <f t="shared" si="89"/>
        <v>4320</v>
      </c>
      <c r="C115" s="7">
        <f t="shared" si="90"/>
        <v>1620</v>
      </c>
      <c r="E115" s="7">
        <f t="shared" si="91"/>
        <v>1440</v>
      </c>
      <c r="F115" s="7">
        <f t="shared" si="92"/>
        <v>1296</v>
      </c>
      <c r="G115" s="7">
        <f t="shared" si="93"/>
        <v>1080</v>
      </c>
      <c r="H115" s="7">
        <f t="shared" si="94"/>
        <v>925.71428571428567</v>
      </c>
      <c r="I115" s="196">
        <v>180</v>
      </c>
      <c r="J115">
        <f t="shared" si="96"/>
        <v>1.125</v>
      </c>
      <c r="K115">
        <f t="shared" si="97"/>
        <v>1.122462048309373</v>
      </c>
      <c r="L115" s="195">
        <f t="shared" ref="L115" si="99">(J115-K115)/K115</f>
        <v>2.261057907881686E-3</v>
      </c>
    </row>
    <row r="116" spans="1:12">
      <c r="A116" s="194">
        <f t="shared" si="95"/>
        <v>14400</v>
      </c>
      <c r="B116" s="194">
        <f t="shared" si="89"/>
        <v>4800</v>
      </c>
      <c r="C116" s="194">
        <f t="shared" si="90"/>
        <v>1800</v>
      </c>
      <c r="D116" s="194"/>
      <c r="E116" s="194">
        <f t="shared" si="91"/>
        <v>1600</v>
      </c>
      <c r="F116" s="194">
        <f t="shared" si="92"/>
        <v>1440</v>
      </c>
      <c r="G116" s="194">
        <f t="shared" si="93"/>
        <v>1200</v>
      </c>
      <c r="H116" s="194">
        <f t="shared" si="94"/>
        <v>1028.5714285714287</v>
      </c>
      <c r="I116" s="193">
        <f>I110*2</f>
        <v>200</v>
      </c>
      <c r="J116">
        <f t="shared" si="96"/>
        <v>1.1111111111111112</v>
      </c>
      <c r="K116">
        <f t="shared" si="97"/>
        <v>1.122462048309373</v>
      </c>
      <c r="L116" s="195">
        <f t="shared" ref="L116" si="100">(J116-K116)/K116</f>
        <v>-1.0112535399622983E-2</v>
      </c>
    </row>
    <row r="117" spans="1:12">
      <c r="A117" s="194">
        <f t="shared" ref="A117:A119" si="101">72*I117</f>
        <v>15840</v>
      </c>
      <c r="B117" s="194">
        <f t="shared" si="89"/>
        <v>5280</v>
      </c>
      <c r="C117" s="194">
        <f t="shared" si="90"/>
        <v>1980</v>
      </c>
      <c r="D117" s="194"/>
      <c r="E117" s="194">
        <f t="shared" ref="E117:E120" si="102">A117/9</f>
        <v>1760</v>
      </c>
      <c r="F117" s="194">
        <f t="shared" ref="F117:F120" si="103">A117/10</f>
        <v>1584</v>
      </c>
      <c r="G117" s="194">
        <f t="shared" ref="G117:G120" si="104">A117/12</f>
        <v>1320</v>
      </c>
      <c r="H117" s="194">
        <f t="shared" ref="H117:H120" si="105">A117/14</f>
        <v>1131.4285714285713</v>
      </c>
      <c r="I117" s="193">
        <f t="shared" ref="I117:I122" si="106">I111*2</f>
        <v>220</v>
      </c>
    </row>
    <row r="118" spans="1:12">
      <c r="A118" s="194">
        <f t="shared" si="101"/>
        <v>18000</v>
      </c>
      <c r="B118" s="194">
        <f t="shared" si="89"/>
        <v>6000</v>
      </c>
      <c r="C118" s="194">
        <f t="shared" si="90"/>
        <v>2250</v>
      </c>
      <c r="D118" s="194"/>
      <c r="E118" s="194">
        <f t="shared" si="102"/>
        <v>2000</v>
      </c>
      <c r="F118" s="194">
        <f t="shared" si="103"/>
        <v>1800</v>
      </c>
      <c r="G118" s="194">
        <f t="shared" si="104"/>
        <v>1500</v>
      </c>
      <c r="H118" s="194">
        <f t="shared" si="105"/>
        <v>1285.7142857142858</v>
      </c>
      <c r="I118" s="193">
        <f t="shared" si="106"/>
        <v>250</v>
      </c>
    </row>
    <row r="119" spans="1:12">
      <c r="A119" s="194">
        <f t="shared" si="101"/>
        <v>20160</v>
      </c>
      <c r="B119" s="194">
        <f t="shared" si="89"/>
        <v>6720</v>
      </c>
      <c r="C119" s="194">
        <f t="shared" si="90"/>
        <v>2520</v>
      </c>
      <c r="D119" s="194"/>
      <c r="E119" s="194">
        <f t="shared" si="102"/>
        <v>2240</v>
      </c>
      <c r="F119" s="194">
        <f t="shared" si="103"/>
        <v>2016</v>
      </c>
      <c r="G119" s="194">
        <f t="shared" si="104"/>
        <v>1680</v>
      </c>
      <c r="H119" s="194">
        <f t="shared" si="105"/>
        <v>1440</v>
      </c>
      <c r="I119" s="193">
        <f t="shared" si="106"/>
        <v>280</v>
      </c>
    </row>
    <row r="120" spans="1:12">
      <c r="A120" s="194">
        <f>72*I120</f>
        <v>23040</v>
      </c>
      <c r="B120" s="194">
        <f t="shared" si="89"/>
        <v>7680</v>
      </c>
      <c r="C120" s="194">
        <f t="shared" si="90"/>
        <v>2880</v>
      </c>
      <c r="D120" s="194"/>
      <c r="E120" s="194">
        <f t="shared" si="102"/>
        <v>2560</v>
      </c>
      <c r="F120" s="194">
        <f t="shared" si="103"/>
        <v>2304</v>
      </c>
      <c r="G120" s="194">
        <f t="shared" si="104"/>
        <v>1920</v>
      </c>
      <c r="H120" s="194">
        <f t="shared" si="105"/>
        <v>1645.7142857142858</v>
      </c>
      <c r="I120" s="193">
        <f t="shared" si="106"/>
        <v>320</v>
      </c>
    </row>
    <row r="121" spans="1:12">
      <c r="A121" s="194">
        <f>72*I121</f>
        <v>25920</v>
      </c>
      <c r="B121" s="194">
        <f t="shared" si="89"/>
        <v>8640</v>
      </c>
      <c r="C121" s="194">
        <f t="shared" si="90"/>
        <v>3240</v>
      </c>
      <c r="D121" s="194"/>
      <c r="E121" s="194">
        <f t="shared" ref="E121:E122" si="107">A121/9</f>
        <v>2880</v>
      </c>
      <c r="F121" s="194">
        <f t="shared" ref="F121:F122" si="108">A121/10</f>
        <v>2592</v>
      </c>
      <c r="G121" s="194">
        <f t="shared" ref="G121:G122" si="109">A121/12</f>
        <v>2160</v>
      </c>
      <c r="H121" s="194">
        <f t="shared" ref="H121:H122" si="110">A121/14</f>
        <v>1851.4285714285713</v>
      </c>
      <c r="I121" s="193">
        <f t="shared" si="106"/>
        <v>360</v>
      </c>
    </row>
    <row r="122" spans="1:12">
      <c r="A122" s="194">
        <f>72*I122</f>
        <v>28800</v>
      </c>
      <c r="B122" s="194">
        <f t="shared" si="89"/>
        <v>9600</v>
      </c>
      <c r="C122" s="194">
        <f t="shared" si="90"/>
        <v>3600</v>
      </c>
      <c r="D122" s="194"/>
      <c r="E122" s="194">
        <f t="shared" si="107"/>
        <v>3200</v>
      </c>
      <c r="F122" s="194">
        <f t="shared" si="108"/>
        <v>2880</v>
      </c>
      <c r="G122" s="194">
        <f t="shared" si="109"/>
        <v>2400</v>
      </c>
      <c r="H122" s="194">
        <f t="shared" si="110"/>
        <v>2057.1428571428573</v>
      </c>
      <c r="I122" s="193">
        <f t="shared" si="106"/>
        <v>400</v>
      </c>
    </row>
  </sheetData>
  <sortState xmlns:xlrd2="http://schemas.microsoft.com/office/spreadsheetml/2017/richdata2" ref="A21:F36">
    <sortCondition ref="A21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8"/>
  <sheetViews>
    <sheetView topLeftCell="A34" zoomScale="150" zoomScaleNormal="150" zoomScalePageLayoutView="150" workbookViewId="0">
      <selection activeCell="G50" sqref="G50"/>
    </sheetView>
  </sheetViews>
  <sheetFormatPr defaultColWidth="12.69921875" defaultRowHeight="14.4"/>
  <cols>
    <col min="5" max="5" width="12.796875"/>
    <col min="8" max="8" width="12.796875"/>
    <col min="9" max="9" width="22.796875" bestFit="1" customWidth="1"/>
    <col min="10" max="10" width="14.296875" bestFit="1" customWidth="1"/>
    <col min="12" max="12" width="12.796875"/>
  </cols>
  <sheetData>
    <row r="1" spans="2:14">
      <c r="B1" s="47" t="s">
        <v>663</v>
      </c>
      <c r="C1" s="58">
        <v>42</v>
      </c>
    </row>
    <row r="2" spans="2:14">
      <c r="C2" s="353" t="s">
        <v>555</v>
      </c>
      <c r="D2" s="353"/>
      <c r="E2" s="353"/>
      <c r="F2" s="353" t="s">
        <v>556</v>
      </c>
      <c r="G2" s="353"/>
      <c r="H2" s="353"/>
      <c r="I2" s="5" t="s">
        <v>664</v>
      </c>
      <c r="J2" s="5" t="s">
        <v>571</v>
      </c>
    </row>
    <row r="3" spans="2:14">
      <c r="B3" t="s">
        <v>554</v>
      </c>
      <c r="C3" t="s">
        <v>559</v>
      </c>
      <c r="D3" t="s">
        <v>560</v>
      </c>
      <c r="E3" t="s">
        <v>579</v>
      </c>
      <c r="F3" t="s">
        <v>557</v>
      </c>
      <c r="G3" t="s">
        <v>558</v>
      </c>
      <c r="H3" t="s">
        <v>580</v>
      </c>
      <c r="I3" t="s">
        <v>561</v>
      </c>
      <c r="J3" t="s">
        <v>562</v>
      </c>
      <c r="K3" t="s">
        <v>563</v>
      </c>
      <c r="L3" t="s">
        <v>581</v>
      </c>
      <c r="M3" s="5" t="s">
        <v>564</v>
      </c>
      <c r="N3" s="5" t="s">
        <v>565</v>
      </c>
    </row>
    <row r="4" spans="2:14">
      <c r="B4">
        <v>0</v>
      </c>
      <c r="C4">
        <f>SIN(($B4+$C$1)*PI()/180)</f>
        <v>0.66913060635885824</v>
      </c>
      <c r="D4">
        <f>COS(($B4+$C$1)*PI()/180)</f>
        <v>0.74314482547739424</v>
      </c>
      <c r="E4">
        <f>SIN(($B4+$C$1)*PI()/90)</f>
        <v>0.99452189536827329</v>
      </c>
      <c r="F4">
        <f>SIN(($B4-$C$1)*PI()/180)</f>
        <v>-0.66913060635885824</v>
      </c>
      <c r="G4">
        <f>COS(($B4-$C$1)*PI()/180)</f>
        <v>0.74314482547739424</v>
      </c>
      <c r="H4">
        <f>SIN(($B4-$C$1)*PI()/90)</f>
        <v>-0.99452189536827329</v>
      </c>
      <c r="I4">
        <f>90/($C$1*PI())*(-F4+C4)</f>
        <v>0.91281808779505291</v>
      </c>
      <c r="J4">
        <f>(1+D4)/2</f>
        <v>0.87157241273869712</v>
      </c>
      <c r="K4">
        <f>COS(($B4/2+15)*PI()/180)</f>
        <v>0.96592582628906831</v>
      </c>
      <c r="L4">
        <f>SQRT(3/PI()*(30/180*PI()-0.25*H4+0.25*E4))</f>
        <v>0.98734453306986214</v>
      </c>
      <c r="M4">
        <f>J4/I4</f>
        <v>0.95481501121873436</v>
      </c>
      <c r="N4">
        <f>K4/I4</f>
        <v>1.0581799804408993</v>
      </c>
    </row>
    <row r="5" spans="2:14">
      <c r="B5">
        <v>1</v>
      </c>
      <c r="C5">
        <f>SIN(($B5+$C$1)*PI()/180)</f>
        <v>0.68199836006249848</v>
      </c>
      <c r="D5">
        <f>COS(($B5+$C$1)*PI()/180)</f>
        <v>0.73135370161917057</v>
      </c>
      <c r="E5">
        <f t="shared" ref="E5:E34" si="0">SIN(($B5+$C$1)*PI()/90)</f>
        <v>0.9975640502598242</v>
      </c>
      <c r="F5">
        <f t="shared" ref="F5:F34" si="1">SIN(($B5-$C$1)*PI()/180)</f>
        <v>-0.65605902899050716</v>
      </c>
      <c r="G5">
        <f t="shared" ref="G5:G34" si="2">COS(($B5-$C$1)*PI()/180)</f>
        <v>0.75470958022277213</v>
      </c>
      <c r="H5">
        <f t="shared" ref="H5:H34" si="3">SIN(($B5-$C$1)*PI()/90)</f>
        <v>-0.99026806874157025</v>
      </c>
      <c r="I5">
        <f t="shared" ref="I5:I34" si="4">90/($C$1*PI())*(-F5+C5)</f>
        <v>0.91267906117894793</v>
      </c>
      <c r="J5">
        <f t="shared" ref="J5:J34" si="5">(1+D5)/2</f>
        <v>0.86567685080958534</v>
      </c>
      <c r="K5">
        <f t="shared" ref="K5:K34" si="6">COS(($B5/2+15)*PI()/180)</f>
        <v>0.96363045320862295</v>
      </c>
      <c r="L5">
        <f t="shared" ref="L5:L34" si="7">SQRT(3/PI()*(30/180*PI()-0.25*H5+0.25*E5))</f>
        <v>0.9871980356867931</v>
      </c>
      <c r="M5">
        <f t="shared" ref="M5:M34" si="8">J5/I5</f>
        <v>0.94850083411725505</v>
      </c>
      <c r="N5">
        <f t="shared" ref="N5:N34" si="9">K5/I5</f>
        <v>1.0558261870978598</v>
      </c>
    </row>
    <row r="6" spans="2:14">
      <c r="B6">
        <v>2</v>
      </c>
      <c r="C6">
        <f t="shared" ref="C6:C34" si="10">SIN(($B6+$C$1)*PI()/180)</f>
        <v>0.69465837045899725</v>
      </c>
      <c r="D6">
        <f t="shared" ref="D6:D34" si="11">COS(($B6+$C$1)*PI()/180)</f>
        <v>0.71933980033865119</v>
      </c>
      <c r="E6">
        <f t="shared" si="0"/>
        <v>0.99939082701909576</v>
      </c>
      <c r="F6">
        <f t="shared" si="1"/>
        <v>-0.64278760968653925</v>
      </c>
      <c r="G6">
        <f t="shared" si="2"/>
        <v>0.76604444311897801</v>
      </c>
      <c r="H6">
        <f t="shared" si="3"/>
        <v>-0.98480775301220802</v>
      </c>
      <c r="I6">
        <f t="shared" si="4"/>
        <v>0.91226202367948739</v>
      </c>
      <c r="J6">
        <f t="shared" si="5"/>
        <v>0.85966990016932554</v>
      </c>
      <c r="K6">
        <f t="shared" si="6"/>
        <v>0.96126169593831889</v>
      </c>
      <c r="L6">
        <f t="shared" si="7"/>
        <v>0.9867585916179562</v>
      </c>
      <c r="M6">
        <f t="shared" si="8"/>
        <v>0.94234976120343306</v>
      </c>
      <c r="N6">
        <f t="shared" si="9"/>
        <v>1.0537122789143385</v>
      </c>
    </row>
    <row r="7" spans="2:14">
      <c r="B7">
        <v>3</v>
      </c>
      <c r="C7">
        <f t="shared" si="10"/>
        <v>0.70710678118654746</v>
      </c>
      <c r="D7">
        <f t="shared" si="11"/>
        <v>0.70710678118654757</v>
      </c>
      <c r="E7">
        <f t="shared" si="0"/>
        <v>1</v>
      </c>
      <c r="F7">
        <f t="shared" si="1"/>
        <v>-0.62932039104983739</v>
      </c>
      <c r="G7">
        <f t="shared" si="2"/>
        <v>0.7771459614569709</v>
      </c>
      <c r="H7">
        <f t="shared" si="3"/>
        <v>-0.97814760073380558</v>
      </c>
      <c r="I7">
        <f t="shared" si="4"/>
        <v>0.91156710233033322</v>
      </c>
      <c r="J7">
        <f t="shared" si="5"/>
        <v>0.85355339059327373</v>
      </c>
      <c r="K7">
        <f t="shared" si="6"/>
        <v>0.95881973486819305</v>
      </c>
      <c r="L7">
        <f t="shared" si="7"/>
        <v>0.9860263451010004</v>
      </c>
      <c r="M7">
        <f t="shared" si="8"/>
        <v>0.93635826524591215</v>
      </c>
      <c r="N7">
        <f t="shared" si="9"/>
        <v>1.0518367023305943</v>
      </c>
    </row>
    <row r="8" spans="2:14">
      <c r="B8">
        <v>4</v>
      </c>
      <c r="C8">
        <f t="shared" si="10"/>
        <v>0.71933980033865108</v>
      </c>
      <c r="D8">
        <f t="shared" si="11"/>
        <v>0.69465837045899737</v>
      </c>
      <c r="E8">
        <f t="shared" si="0"/>
        <v>0.99939082701909576</v>
      </c>
      <c r="F8">
        <f t="shared" si="1"/>
        <v>-0.61566147532565818</v>
      </c>
      <c r="G8">
        <f t="shared" si="2"/>
        <v>0.78801075360672201</v>
      </c>
      <c r="H8">
        <f t="shared" si="3"/>
        <v>-0.97029572627599647</v>
      </c>
      <c r="I8">
        <f t="shared" si="4"/>
        <v>0.91059450881126069</v>
      </c>
      <c r="J8">
        <f t="shared" si="5"/>
        <v>0.84732918522949863</v>
      </c>
      <c r="K8">
        <f t="shared" si="6"/>
        <v>0.95630475596303544</v>
      </c>
      <c r="L8">
        <f t="shared" si="7"/>
        <v>0.98500153652054157</v>
      </c>
      <c r="M8">
        <f t="shared" si="8"/>
        <v>0.93052305612478159</v>
      </c>
      <c r="N8">
        <f t="shared" si="9"/>
        <v>1.0501982459914538</v>
      </c>
    </row>
    <row r="9" spans="2:14">
      <c r="B9">
        <v>5</v>
      </c>
      <c r="C9">
        <f t="shared" si="10"/>
        <v>0.73135370161917046</v>
      </c>
      <c r="D9">
        <f t="shared" si="11"/>
        <v>0.68199836006249848</v>
      </c>
      <c r="E9">
        <f t="shared" si="0"/>
        <v>0.9975640502598242</v>
      </c>
      <c r="F9">
        <f t="shared" si="1"/>
        <v>-0.60181502315204827</v>
      </c>
      <c r="G9">
        <f t="shared" si="2"/>
        <v>0.79863551004729283</v>
      </c>
      <c r="H9">
        <f t="shared" si="3"/>
        <v>-0.96126169593831889</v>
      </c>
      <c r="I9">
        <f t="shared" si="4"/>
        <v>0.9093445393836771</v>
      </c>
      <c r="J9">
        <f t="shared" si="5"/>
        <v>0.84099918003124929</v>
      </c>
      <c r="K9">
        <f t="shared" si="6"/>
        <v>0.95371695074822693</v>
      </c>
      <c r="L9">
        <f t="shared" si="7"/>
        <v>0.98368450239121752</v>
      </c>
      <c r="M9">
        <f t="shared" si="8"/>
        <v>0.92484107355090073</v>
      </c>
      <c r="N9">
        <f t="shared" si="9"/>
        <v>1.0487960387320563</v>
      </c>
    </row>
    <row r="10" spans="2:14">
      <c r="B10">
        <v>6</v>
      </c>
      <c r="C10">
        <f t="shared" si="10"/>
        <v>0.74314482547739413</v>
      </c>
      <c r="D10">
        <f t="shared" si="11"/>
        <v>0.66913060635885824</v>
      </c>
      <c r="E10">
        <f t="shared" si="0"/>
        <v>0.9945218953682734</v>
      </c>
      <c r="F10">
        <f t="shared" si="1"/>
        <v>-0.58778525229247314</v>
      </c>
      <c r="G10">
        <f t="shared" si="2"/>
        <v>0.80901699437494745</v>
      </c>
      <c r="H10">
        <f t="shared" si="3"/>
        <v>-0.95105651629515353</v>
      </c>
      <c r="I10">
        <f t="shared" si="4"/>
        <v>0.90781757480037895</v>
      </c>
      <c r="J10">
        <f t="shared" si="5"/>
        <v>0.83456530317942912</v>
      </c>
      <c r="K10">
        <f t="shared" si="6"/>
        <v>0.95105651629515353</v>
      </c>
      <c r="L10">
        <f t="shared" si="7"/>
        <v>0.98207567533447704</v>
      </c>
      <c r="M10">
        <f t="shared" si="8"/>
        <v>0.9193094806111709</v>
      </c>
      <c r="N10">
        <f t="shared" si="9"/>
        <v>1.0476295488157765</v>
      </c>
    </row>
    <row r="11" spans="2:14">
      <c r="B11">
        <v>7</v>
      </c>
      <c r="C11">
        <f t="shared" si="10"/>
        <v>0.75470958022277201</v>
      </c>
      <c r="D11">
        <f t="shared" si="11"/>
        <v>0.65605902899050728</v>
      </c>
      <c r="E11">
        <f t="shared" si="0"/>
        <v>0.99026806874157036</v>
      </c>
      <c r="F11">
        <f t="shared" si="1"/>
        <v>-0.57357643635104605</v>
      </c>
      <c r="G11">
        <f t="shared" si="2"/>
        <v>0.8191520442889918</v>
      </c>
      <c r="H11">
        <f t="shared" si="3"/>
        <v>-0.93969262078590832</v>
      </c>
      <c r="I11">
        <f t="shared" si="4"/>
        <v>0.90601408018957019</v>
      </c>
      <c r="J11">
        <f t="shared" si="5"/>
        <v>0.82802951449525364</v>
      </c>
      <c r="K11">
        <f t="shared" si="6"/>
        <v>0.94832365520619932</v>
      </c>
      <c r="L11">
        <f t="shared" si="7"/>
        <v>0.9801755840496188</v>
      </c>
      <c r="M11">
        <f t="shared" si="8"/>
        <v>0.91392565811118587</v>
      </c>
      <c r="N11">
        <f t="shared" si="9"/>
        <v>1.0466985844279335</v>
      </c>
    </row>
    <row r="12" spans="2:14">
      <c r="B12">
        <v>8</v>
      </c>
      <c r="C12">
        <f t="shared" si="10"/>
        <v>0.76604444311897801</v>
      </c>
      <c r="D12">
        <f t="shared" si="11"/>
        <v>0.64278760968653936</v>
      </c>
      <c r="E12">
        <f t="shared" si="0"/>
        <v>0.98480775301220802</v>
      </c>
      <c r="F12">
        <f t="shared" si="1"/>
        <v>-0.5591929034707469</v>
      </c>
      <c r="G12">
        <f t="shared" si="2"/>
        <v>0.82903757255504162</v>
      </c>
      <c r="H12">
        <f t="shared" si="3"/>
        <v>-0.92718385456678742</v>
      </c>
      <c r="I12">
        <f t="shared" si="4"/>
        <v>0.90393460491318023</v>
      </c>
      <c r="J12">
        <f t="shared" si="5"/>
        <v>0.82139380484326963</v>
      </c>
      <c r="K12">
        <f t="shared" si="6"/>
        <v>0.94551857559931685</v>
      </c>
      <c r="L12">
        <f t="shared" si="7"/>
        <v>0.97798485327975537</v>
      </c>
      <c r="M12">
        <f t="shared" si="8"/>
        <v>0.90868719969201939</v>
      </c>
      <c r="N12">
        <f t="shared" si="9"/>
        <v>1.0460032954376501</v>
      </c>
    </row>
    <row r="13" spans="2:14">
      <c r="B13">
        <v>9</v>
      </c>
      <c r="C13">
        <f t="shared" si="10"/>
        <v>0.77714596145697079</v>
      </c>
      <c r="D13">
        <f t="shared" si="11"/>
        <v>0.6293203910498375</v>
      </c>
      <c r="E13">
        <f t="shared" si="0"/>
        <v>0.97814760073380569</v>
      </c>
      <c r="F13">
        <f t="shared" si="1"/>
        <v>-0.54463903501502708</v>
      </c>
      <c r="G13">
        <f t="shared" si="2"/>
        <v>0.83867056794542405</v>
      </c>
      <c r="H13">
        <f t="shared" si="3"/>
        <v>-0.91354545764260087</v>
      </c>
      <c r="I13">
        <f t="shared" si="4"/>
        <v>0.90157978239952241</v>
      </c>
      <c r="J13">
        <f t="shared" si="5"/>
        <v>0.81466019552491875</v>
      </c>
      <c r="K13">
        <f t="shared" si="6"/>
        <v>0.94264149109217843</v>
      </c>
      <c r="L13">
        <f t="shared" si="7"/>
        <v>0.97550420377353864</v>
      </c>
      <c r="M13">
        <f t="shared" si="8"/>
        <v>0.90359190770308728</v>
      </c>
      <c r="N13">
        <f t="shared" si="9"/>
        <v>1.045544176449223</v>
      </c>
    </row>
    <row r="14" spans="2:14">
      <c r="B14">
        <v>10</v>
      </c>
      <c r="C14">
        <f t="shared" si="10"/>
        <v>0.78801075360672201</v>
      </c>
      <c r="D14">
        <f t="shared" si="11"/>
        <v>0.61566147532565829</v>
      </c>
      <c r="E14">
        <f t="shared" si="0"/>
        <v>0.97029572627599647</v>
      </c>
      <c r="F14">
        <f t="shared" si="1"/>
        <v>-0.5299192642332049</v>
      </c>
      <c r="G14">
        <f t="shared" si="2"/>
        <v>0.84804809615642596</v>
      </c>
      <c r="H14">
        <f t="shared" si="3"/>
        <v>-0.89879404629916704</v>
      </c>
      <c r="I14">
        <f t="shared" si="4"/>
        <v>0.89895032995034652</v>
      </c>
      <c r="J14">
        <f t="shared" si="5"/>
        <v>0.80783073766282909</v>
      </c>
      <c r="K14">
        <f t="shared" si="6"/>
        <v>0.93969262078590843</v>
      </c>
      <c r="L14">
        <f t="shared" si="7"/>
        <v>0.97273445224365607</v>
      </c>
      <c r="M14">
        <f t="shared" si="8"/>
        <v>0.89863778981809772</v>
      </c>
      <c r="N14">
        <f t="shared" si="9"/>
        <v>1.0453220711736235</v>
      </c>
    </row>
    <row r="15" spans="2:14">
      <c r="B15">
        <v>11</v>
      </c>
      <c r="C15">
        <f t="shared" si="10"/>
        <v>0.79863551004729283</v>
      </c>
      <c r="D15">
        <f t="shared" si="11"/>
        <v>0.60181502315204838</v>
      </c>
      <c r="E15">
        <f t="shared" si="0"/>
        <v>0.96126169593831889</v>
      </c>
      <c r="F15">
        <f t="shared" si="1"/>
        <v>-0.51503807491005416</v>
      </c>
      <c r="G15">
        <f t="shared" si="2"/>
        <v>0.85716730070211233</v>
      </c>
      <c r="H15">
        <f t="shared" si="3"/>
        <v>-0.88294759285892688</v>
      </c>
      <c r="I15">
        <f t="shared" si="4"/>
        <v>0.89604704852234018</v>
      </c>
      <c r="J15">
        <f t="shared" si="5"/>
        <v>0.80090751157602424</v>
      </c>
      <c r="K15">
        <f t="shared" si="6"/>
        <v>0.93667218924839768</v>
      </c>
      <c r="L15">
        <f t="shared" si="7"/>
        <v>0.96967651132328947</v>
      </c>
      <c r="M15">
        <f t="shared" si="8"/>
        <v>0.89382305638614701</v>
      </c>
      <c r="N15">
        <f t="shared" si="9"/>
        <v>1.0453381781604569</v>
      </c>
    </row>
    <row r="16" spans="2:14">
      <c r="B16">
        <v>12</v>
      </c>
      <c r="C16">
        <f t="shared" si="10"/>
        <v>0.80901699437494745</v>
      </c>
      <c r="D16">
        <f t="shared" si="11"/>
        <v>0.58778525229247314</v>
      </c>
      <c r="E16">
        <f t="shared" si="0"/>
        <v>0.95105651629515364</v>
      </c>
      <c r="F16">
        <f t="shared" si="1"/>
        <v>-0.49999999999999994</v>
      </c>
      <c r="G16">
        <f t="shared" si="2"/>
        <v>0.86602540378443871</v>
      </c>
      <c r="H16">
        <f t="shared" si="3"/>
        <v>-0.8660254037844386</v>
      </c>
      <c r="I16">
        <f t="shared" si="4"/>
        <v>0.89287082248315131</v>
      </c>
      <c r="J16">
        <f t="shared" si="5"/>
        <v>0.79389262614623657</v>
      </c>
      <c r="K16">
        <f t="shared" si="6"/>
        <v>0.93358042649720174</v>
      </c>
      <c r="L16">
        <f t="shared" si="7"/>
        <v>0.96633138952192232</v>
      </c>
      <c r="M16">
        <f t="shared" si="8"/>
        <v>0.88914611851505265</v>
      </c>
      <c r="N16">
        <f t="shared" si="9"/>
        <v>1.0455940579409164</v>
      </c>
    </row>
    <row r="17" spans="2:14">
      <c r="B17">
        <v>13</v>
      </c>
      <c r="C17">
        <f t="shared" si="10"/>
        <v>0.8191520442889918</v>
      </c>
      <c r="D17">
        <f t="shared" si="11"/>
        <v>0.57357643635104616</v>
      </c>
      <c r="E17">
        <f t="shared" si="0"/>
        <v>0.93969262078590843</v>
      </c>
      <c r="F17">
        <f t="shared" si="1"/>
        <v>-0.48480962024633706</v>
      </c>
      <c r="G17">
        <f t="shared" si="2"/>
        <v>0.87461970713939574</v>
      </c>
      <c r="H17">
        <f t="shared" si="3"/>
        <v>-0.84804809615642596</v>
      </c>
      <c r="I17">
        <f t="shared" si="4"/>
        <v>0.88942261934200029</v>
      </c>
      <c r="J17">
        <f t="shared" si="5"/>
        <v>0.78678821817552302</v>
      </c>
      <c r="K17">
        <f t="shared" si="6"/>
        <v>0.93041756798202457</v>
      </c>
      <c r="L17">
        <f t="shared" si="7"/>
        <v>0.96270019118208972</v>
      </c>
      <c r="M17">
        <f t="shared" si="8"/>
        <v>0.8846055868891588</v>
      </c>
      <c r="N17">
        <f t="shared" si="9"/>
        <v>1.0460916416431512</v>
      </c>
    </row>
    <row r="18" spans="2:14">
      <c r="B18">
        <v>14</v>
      </c>
      <c r="C18">
        <f t="shared" si="10"/>
        <v>0.82903757255504174</v>
      </c>
      <c r="D18">
        <f t="shared" si="11"/>
        <v>0.55919290347074679</v>
      </c>
      <c r="E18">
        <f t="shared" si="0"/>
        <v>0.92718385456678742</v>
      </c>
      <c r="F18">
        <f t="shared" si="1"/>
        <v>-0.46947156278589081</v>
      </c>
      <c r="G18">
        <f t="shared" si="2"/>
        <v>0.88294759285892699</v>
      </c>
      <c r="H18">
        <f t="shared" si="3"/>
        <v>-0.82903757255504174</v>
      </c>
      <c r="I18">
        <f t="shared" si="4"/>
        <v>0.88570348945496724</v>
      </c>
      <c r="J18">
        <f t="shared" si="5"/>
        <v>0.7795964517353734</v>
      </c>
      <c r="K18">
        <f t="shared" si="6"/>
        <v>0.92718385456678742</v>
      </c>
      <c r="L18">
        <f t="shared" si="7"/>
        <v>0.95878411643889516</v>
      </c>
      <c r="M18">
        <f t="shared" si="8"/>
        <v>0.88020027132907808</v>
      </c>
      <c r="N18">
        <f t="shared" si="9"/>
        <v>1.0468332411531378</v>
      </c>
    </row>
    <row r="19" spans="2:14">
      <c r="B19">
        <v>15</v>
      </c>
      <c r="C19">
        <f t="shared" si="10"/>
        <v>0.83867056794542394</v>
      </c>
      <c r="D19">
        <f t="shared" si="11"/>
        <v>0.5446390350150272</v>
      </c>
      <c r="E19">
        <f t="shared" si="0"/>
        <v>0.91354545764260098</v>
      </c>
      <c r="F19">
        <f t="shared" si="1"/>
        <v>-0.45399049973954675</v>
      </c>
      <c r="G19">
        <f t="shared" si="2"/>
        <v>0.8910065241883679</v>
      </c>
      <c r="H19">
        <f t="shared" si="3"/>
        <v>-0.80901699437494745</v>
      </c>
      <c r="I19">
        <f t="shared" si="4"/>
        <v>0.8817145657050437</v>
      </c>
      <c r="J19">
        <f t="shared" si="5"/>
        <v>0.7723195175075136</v>
      </c>
      <c r="K19">
        <f t="shared" si="6"/>
        <v>0.92387953251128674</v>
      </c>
      <c r="L19">
        <f t="shared" si="7"/>
        <v>0.95458446118435891</v>
      </c>
      <c r="M19">
        <f t="shared" si="8"/>
        <v>0.87592918110629747</v>
      </c>
      <c r="N19">
        <f t="shared" si="9"/>
        <v>1.047821560906762</v>
      </c>
    </row>
    <row r="20" spans="2:14">
      <c r="B20">
        <v>16</v>
      </c>
      <c r="C20">
        <f t="shared" si="10"/>
        <v>0.84804809615642596</v>
      </c>
      <c r="D20">
        <f t="shared" si="11"/>
        <v>0.5299192642332049</v>
      </c>
      <c r="E20">
        <f t="shared" si="0"/>
        <v>0.89879404629916693</v>
      </c>
      <c r="F20">
        <f t="shared" si="1"/>
        <v>-0.4383711467890774</v>
      </c>
      <c r="G20">
        <f t="shared" si="2"/>
        <v>0.89879404629916704</v>
      </c>
      <c r="H20">
        <f t="shared" si="3"/>
        <v>-0.78801075360672201</v>
      </c>
      <c r="I20">
        <f t="shared" si="4"/>
        <v>0.87745706315704564</v>
      </c>
      <c r="J20">
        <f t="shared" si="5"/>
        <v>0.76495963211660245</v>
      </c>
      <c r="K20">
        <f t="shared" si="6"/>
        <v>0.92050485345244037</v>
      </c>
      <c r="L20">
        <f t="shared" si="7"/>
        <v>0.95010261703893673</v>
      </c>
      <c r="M20">
        <f t="shared" si="8"/>
        <v>0.87179152603127585</v>
      </c>
      <c r="N20">
        <f t="shared" si="9"/>
        <v>1.0490597114125573</v>
      </c>
    </row>
    <row r="21" spans="2:14">
      <c r="B21">
        <v>17</v>
      </c>
      <c r="C21">
        <f t="shared" si="10"/>
        <v>0.85716730070211222</v>
      </c>
      <c r="D21">
        <f t="shared" si="11"/>
        <v>0.51503807491005438</v>
      </c>
      <c r="E21">
        <f t="shared" si="0"/>
        <v>0.8829475928589271</v>
      </c>
      <c r="F21">
        <f t="shared" si="1"/>
        <v>-0.42261826174069944</v>
      </c>
      <c r="G21">
        <f t="shared" si="2"/>
        <v>0.90630778703664994</v>
      </c>
      <c r="H21">
        <f t="shared" si="3"/>
        <v>-0.76604444311897801</v>
      </c>
      <c r="I21">
        <f t="shared" si="4"/>
        <v>0.87293227868749268</v>
      </c>
      <c r="J21">
        <f t="shared" si="5"/>
        <v>0.75751903745502713</v>
      </c>
      <c r="K21">
        <f t="shared" si="6"/>
        <v>0.91706007438512405</v>
      </c>
      <c r="L21">
        <f t="shared" si="7"/>
        <v>0.94534007133283948</v>
      </c>
      <c r="M21">
        <f t="shared" si="8"/>
        <v>0.8677867183397131</v>
      </c>
      <c r="N21">
        <f t="shared" si="9"/>
        <v>1.0505512246196007</v>
      </c>
    </row>
    <row r="22" spans="2:14">
      <c r="B22">
        <v>18</v>
      </c>
      <c r="C22">
        <f t="shared" si="10"/>
        <v>0.8660254037844386</v>
      </c>
      <c r="D22">
        <f t="shared" si="11"/>
        <v>0.50000000000000011</v>
      </c>
      <c r="E22">
        <f t="shared" si="0"/>
        <v>0.86602540378443871</v>
      </c>
      <c r="F22">
        <f t="shared" si="1"/>
        <v>-0.40673664307580015</v>
      </c>
      <c r="G22">
        <f t="shared" si="2"/>
        <v>0.91354545764260087</v>
      </c>
      <c r="H22">
        <f t="shared" si="3"/>
        <v>-0.74314482547739413</v>
      </c>
      <c r="I22">
        <f t="shared" si="4"/>
        <v>0.86814159058956653</v>
      </c>
      <c r="J22">
        <f t="shared" si="5"/>
        <v>0.75</v>
      </c>
      <c r="K22">
        <f t="shared" si="6"/>
        <v>0.91354545764260087</v>
      </c>
      <c r="L22">
        <f t="shared" si="7"/>
        <v>0.94029840710011237</v>
      </c>
      <c r="M22">
        <f t="shared" si="8"/>
        <v>0.86391437540812321</v>
      </c>
      <c r="N22">
        <f t="shared" si="9"/>
        <v>1.0523000712616475</v>
      </c>
    </row>
    <row r="23" spans="2:14">
      <c r="B23">
        <v>19</v>
      </c>
      <c r="C23">
        <f t="shared" si="10"/>
        <v>0.87461970713939574</v>
      </c>
      <c r="D23">
        <f t="shared" si="11"/>
        <v>0.48480962024633711</v>
      </c>
      <c r="E23">
        <f t="shared" si="0"/>
        <v>0.84804809615642607</v>
      </c>
      <c r="F23">
        <f t="shared" si="1"/>
        <v>-0.39073112848927372</v>
      </c>
      <c r="G23">
        <f t="shared" si="2"/>
        <v>0.92050485345244037</v>
      </c>
      <c r="H23">
        <f t="shared" si="3"/>
        <v>-0.71933980033865108</v>
      </c>
      <c r="I23">
        <f t="shared" si="4"/>
        <v>0.86308645815327056</v>
      </c>
      <c r="J23">
        <f t="shared" si="5"/>
        <v>0.74240481012316861</v>
      </c>
      <c r="K23">
        <f t="shared" si="6"/>
        <v>0.90996127087654322</v>
      </c>
      <c r="L23">
        <f t="shared" si="7"/>
        <v>0.93497930308878985</v>
      </c>
      <c r="M23">
        <f t="shared" si="8"/>
        <v>0.86017432333682753</v>
      </c>
      <c r="N23">
        <f t="shared" si="9"/>
        <v>1.0543106803269393</v>
      </c>
    </row>
    <row r="24" spans="2:14">
      <c r="B24">
        <v>20</v>
      </c>
      <c r="C24">
        <f t="shared" si="10"/>
        <v>0.88294759285892688</v>
      </c>
      <c r="D24">
        <f t="shared" si="11"/>
        <v>0.46947156278589086</v>
      </c>
      <c r="E24">
        <f t="shared" si="0"/>
        <v>0.82903757255504174</v>
      </c>
      <c r="F24">
        <f t="shared" si="1"/>
        <v>-0.37460659341591201</v>
      </c>
      <c r="G24">
        <f t="shared" si="2"/>
        <v>0.92718385456678742</v>
      </c>
      <c r="H24">
        <f t="shared" si="3"/>
        <v>-0.69465837045899725</v>
      </c>
      <c r="I24">
        <f t="shared" si="4"/>
        <v>0.85776842122091457</v>
      </c>
      <c r="J24">
        <f t="shared" si="5"/>
        <v>0.73473578139294538</v>
      </c>
      <c r="K24">
        <f t="shared" si="6"/>
        <v>0.90630778703664994</v>
      </c>
      <c r="L24">
        <f t="shared" si="7"/>
        <v>0.92938453379084518</v>
      </c>
      <c r="M24">
        <f t="shared" si="8"/>
        <v>0.85656660144605312</v>
      </c>
      <c r="N24">
        <f t="shared" si="9"/>
        <v>1.0565879608235593</v>
      </c>
    </row>
    <row r="25" spans="2:14">
      <c r="B25">
        <v>21</v>
      </c>
      <c r="C25">
        <f t="shared" si="10"/>
        <v>0.89100652418836779</v>
      </c>
      <c r="D25">
        <f t="shared" si="11"/>
        <v>0.4539904997395468</v>
      </c>
      <c r="E25">
        <f t="shared" si="0"/>
        <v>0.80901699437494745</v>
      </c>
      <c r="F25">
        <f t="shared" si="1"/>
        <v>-0.35836794954530027</v>
      </c>
      <c r="G25">
        <f t="shared" si="2"/>
        <v>0.93358042649720174</v>
      </c>
      <c r="H25">
        <f t="shared" si="3"/>
        <v>-0.66913060635885824</v>
      </c>
      <c r="I25">
        <f t="shared" si="4"/>
        <v>0.85218909971806556</v>
      </c>
      <c r="J25">
        <f t="shared" si="5"/>
        <v>0.72699524986977337</v>
      </c>
      <c r="K25">
        <f t="shared" si="6"/>
        <v>0.90258528434986063</v>
      </c>
      <c r="L25">
        <f t="shared" si="7"/>
        <v>0.92351596949609682</v>
      </c>
      <c r="M25">
        <f t="shared" si="8"/>
        <v>0.85309146773913114</v>
      </c>
      <c r="N25">
        <f t="shared" si="9"/>
        <v>1.0591373260329988</v>
      </c>
    </row>
    <row r="26" spans="2:14">
      <c r="B26">
        <v>22</v>
      </c>
      <c r="C26">
        <f t="shared" si="10"/>
        <v>0.89879404629916704</v>
      </c>
      <c r="D26">
        <f t="shared" si="11"/>
        <v>0.43837114678907746</v>
      </c>
      <c r="E26">
        <f t="shared" si="0"/>
        <v>0.78801075360672201</v>
      </c>
      <c r="F26">
        <f t="shared" si="1"/>
        <v>-0.34202014332566871</v>
      </c>
      <c r="G26">
        <f t="shared" si="2"/>
        <v>0.93969262078590843</v>
      </c>
      <c r="H26">
        <f t="shared" si="3"/>
        <v>-0.64278760968653925</v>
      </c>
      <c r="I26">
        <f t="shared" si="4"/>
        <v>0.84635019316010129</v>
      </c>
      <c r="J26">
        <f t="shared" si="5"/>
        <v>0.7191855733945387</v>
      </c>
      <c r="K26">
        <f t="shared" si="6"/>
        <v>0.89879404629916704</v>
      </c>
      <c r="L26">
        <f t="shared" si="7"/>
        <v>0.91737557637473321</v>
      </c>
      <c r="M26">
        <f t="shared" si="8"/>
        <v>0.84974940539594435</v>
      </c>
      <c r="N26">
        <f t="shared" si="9"/>
        <v>1.0619647204702003</v>
      </c>
    </row>
    <row r="27" spans="2:14">
      <c r="B27">
        <v>23</v>
      </c>
      <c r="C27">
        <f t="shared" si="10"/>
        <v>0.90630778703664994</v>
      </c>
      <c r="D27">
        <f t="shared" si="11"/>
        <v>0.42261826174069944</v>
      </c>
      <c r="E27">
        <f t="shared" si="0"/>
        <v>0.76604444311897801</v>
      </c>
      <c r="F27">
        <f t="shared" si="1"/>
        <v>-0.32556815445715664</v>
      </c>
      <c r="G27">
        <f t="shared" si="2"/>
        <v>0.94551857559931685</v>
      </c>
      <c r="H27">
        <f t="shared" si="3"/>
        <v>-0.61566147532565818</v>
      </c>
      <c r="I27">
        <f t="shared" si="4"/>
        <v>0.84025348013452184</v>
      </c>
      <c r="J27">
        <f t="shared" si="5"/>
        <v>0.71130913087034975</v>
      </c>
      <c r="K27">
        <f t="shared" si="6"/>
        <v>0.89493436160202511</v>
      </c>
      <c r="L27">
        <f t="shared" si="7"/>
        <v>0.91096541659367425</v>
      </c>
      <c r="M27">
        <f t="shared" si="8"/>
        <v>0.84654113036993495</v>
      </c>
      <c r="N27">
        <f t="shared" si="9"/>
        <v>1.0650766497970934</v>
      </c>
    </row>
    <row r="28" spans="2:14">
      <c r="B28">
        <v>24</v>
      </c>
      <c r="C28">
        <f t="shared" si="10"/>
        <v>0.91354545764260087</v>
      </c>
      <c r="D28">
        <f t="shared" si="11"/>
        <v>0.40673664307580021</v>
      </c>
      <c r="E28">
        <f t="shared" si="0"/>
        <v>0.74314482547739424</v>
      </c>
      <c r="F28">
        <f t="shared" si="1"/>
        <v>-0.3090169943749474</v>
      </c>
      <c r="G28">
        <f t="shared" si="2"/>
        <v>0.95105651629515353</v>
      </c>
      <c r="H28">
        <f t="shared" si="3"/>
        <v>-0.58778525229247314</v>
      </c>
      <c r="I28">
        <f t="shared" si="4"/>
        <v>0.83390081775917535</v>
      </c>
      <c r="J28">
        <f t="shared" si="5"/>
        <v>0.70336832153790008</v>
      </c>
      <c r="K28">
        <f t="shared" si="6"/>
        <v>0.8910065241883679</v>
      </c>
      <c r="L28">
        <f t="shared" si="7"/>
        <v>0.90428764847261545</v>
      </c>
      <c r="M28">
        <f t="shared" si="8"/>
        <v>0.84346760017331923</v>
      </c>
      <c r="N28">
        <f t="shared" si="9"/>
        <v>1.0684802139691441</v>
      </c>
    </row>
    <row r="29" spans="2:14">
      <c r="B29">
        <v>25</v>
      </c>
      <c r="C29">
        <f t="shared" si="10"/>
        <v>0.92050485345244026</v>
      </c>
      <c r="D29">
        <f t="shared" si="11"/>
        <v>0.39073112848927394</v>
      </c>
      <c r="E29">
        <f t="shared" si="0"/>
        <v>0.71933980033865141</v>
      </c>
      <c r="F29">
        <f t="shared" si="1"/>
        <v>-0.29237170472273677</v>
      </c>
      <c r="G29">
        <f t="shared" si="2"/>
        <v>0.95630475596303544</v>
      </c>
      <c r="H29">
        <f t="shared" si="3"/>
        <v>-0.5591929034707469</v>
      </c>
      <c r="I29">
        <f t="shared" si="4"/>
        <v>0.82729414111656085</v>
      </c>
      <c r="J29">
        <f t="shared" si="5"/>
        <v>0.69536556424463702</v>
      </c>
      <c r="K29">
        <f t="shared" si="6"/>
        <v>0.88701083317822171</v>
      </c>
      <c r="L29">
        <f t="shared" si="7"/>
        <v>0.89734452668630449</v>
      </c>
      <c r="M29">
        <f t="shared" si="8"/>
        <v>0.84053002394787191</v>
      </c>
      <c r="N29">
        <f t="shared" si="9"/>
        <v>1.0721831439312068</v>
      </c>
    </row>
    <row r="30" spans="2:14">
      <c r="B30">
        <v>26</v>
      </c>
      <c r="C30">
        <f t="shared" si="10"/>
        <v>0.92718385456678742</v>
      </c>
      <c r="D30">
        <f t="shared" si="11"/>
        <v>0.37460659341591196</v>
      </c>
      <c r="E30">
        <f t="shared" si="0"/>
        <v>0.69465837045899714</v>
      </c>
      <c r="F30">
        <f t="shared" si="1"/>
        <v>-0.27563735581699916</v>
      </c>
      <c r="G30">
        <f t="shared" si="2"/>
        <v>0.96126169593831889</v>
      </c>
      <c r="H30">
        <f t="shared" si="3"/>
        <v>-0.5299192642332049</v>
      </c>
      <c r="I30">
        <f t="shared" si="4"/>
        <v>0.82043546266438383</v>
      </c>
      <c r="J30">
        <f t="shared" si="5"/>
        <v>0.68730329670795598</v>
      </c>
      <c r="K30">
        <f t="shared" si="6"/>
        <v>0.88294759285892699</v>
      </c>
      <c r="L30">
        <f t="shared" si="7"/>
        <v>0.890138402520399</v>
      </c>
      <c r="M30">
        <f t="shared" si="8"/>
        <v>0.83772987393295029</v>
      </c>
      <c r="N30">
        <f t="shared" si="9"/>
        <v>1.0761938422207318</v>
      </c>
    </row>
    <row r="31" spans="2:14">
      <c r="B31">
        <v>27</v>
      </c>
      <c r="C31">
        <f t="shared" si="10"/>
        <v>0.93358042649720174</v>
      </c>
      <c r="D31">
        <f t="shared" si="11"/>
        <v>0.35836794954530038</v>
      </c>
      <c r="E31">
        <f t="shared" si="0"/>
        <v>0.66913060635885835</v>
      </c>
      <c r="F31">
        <f t="shared" si="1"/>
        <v>-0.25881904510252074</v>
      </c>
      <c r="G31">
        <f t="shared" si="2"/>
        <v>0.96592582628906831</v>
      </c>
      <c r="H31">
        <f t="shared" si="3"/>
        <v>-0.49999999999999994</v>
      </c>
      <c r="I31">
        <f t="shared" si="4"/>
        <v>0.81332687162254236</v>
      </c>
      <c r="J31">
        <f t="shared" si="5"/>
        <v>0.67918397477265025</v>
      </c>
      <c r="K31">
        <f t="shared" si="6"/>
        <v>0.87881711266196538</v>
      </c>
      <c r="L31">
        <f t="shared" si="7"/>
        <v>0.88267172418915496</v>
      </c>
      <c r="M31">
        <f t="shared" si="8"/>
        <v>0.83506889845864252</v>
      </c>
      <c r="N31">
        <f t="shared" si="9"/>
        <v>1.0805214278839375</v>
      </c>
    </row>
    <row r="32" spans="2:14">
      <c r="B32">
        <v>28</v>
      </c>
      <c r="C32">
        <f t="shared" si="10"/>
        <v>0.93969262078590832</v>
      </c>
      <c r="D32">
        <f t="shared" si="11"/>
        <v>0.34202014332566882</v>
      </c>
      <c r="E32">
        <f t="shared" si="0"/>
        <v>0.64278760968653947</v>
      </c>
      <c r="F32">
        <f t="shared" si="1"/>
        <v>-0.24192189559966773</v>
      </c>
      <c r="G32">
        <f t="shared" si="2"/>
        <v>0.97029572627599647</v>
      </c>
      <c r="H32">
        <f t="shared" si="3"/>
        <v>-0.46947156278589081</v>
      </c>
      <c r="I32">
        <f t="shared" si="4"/>
        <v>0.80597053333673052</v>
      </c>
      <c r="J32">
        <f t="shared" si="5"/>
        <v>0.67101007166283444</v>
      </c>
      <c r="K32">
        <f t="shared" si="6"/>
        <v>0.87461970713939574</v>
      </c>
      <c r="L32">
        <f t="shared" si="7"/>
        <v>0.8749470372242153</v>
      </c>
      <c r="M32">
        <f t="shared" si="8"/>
        <v>0.83254913661029561</v>
      </c>
      <c r="N32">
        <f t="shared" si="9"/>
        <v>1.0851757861648572</v>
      </c>
    </row>
    <row r="33" spans="2:14">
      <c r="B33">
        <v>29</v>
      </c>
      <c r="C33">
        <f t="shared" si="10"/>
        <v>0.94551857559931674</v>
      </c>
      <c r="D33">
        <f t="shared" si="11"/>
        <v>0.32556815445715676</v>
      </c>
      <c r="E33">
        <f t="shared" si="0"/>
        <v>0.6156614753256584</v>
      </c>
      <c r="F33">
        <f t="shared" si="1"/>
        <v>-0.224951054343865</v>
      </c>
      <c r="G33">
        <f t="shared" si="2"/>
        <v>0.97437006478523525</v>
      </c>
      <c r="H33">
        <f t="shared" si="3"/>
        <v>-0.4383711467890774</v>
      </c>
      <c r="I33">
        <f t="shared" si="4"/>
        <v>0.79836868861885246</v>
      </c>
      <c r="J33">
        <f t="shared" si="5"/>
        <v>0.66278407722857835</v>
      </c>
      <c r="K33">
        <f t="shared" si="6"/>
        <v>0.8703556959398997</v>
      </c>
      <c r="L33">
        <f t="shared" si="7"/>
        <v>0.86696698494493318</v>
      </c>
      <c r="M33">
        <f t="shared" si="8"/>
        <v>0.83017293473165843</v>
      </c>
      <c r="N33">
        <f t="shared" si="9"/>
        <v>1.0901676234893205</v>
      </c>
    </row>
    <row r="34" spans="2:14">
      <c r="B34">
        <v>30</v>
      </c>
      <c r="C34">
        <f t="shared" si="10"/>
        <v>0.95105651629515353</v>
      </c>
      <c r="D34">
        <f t="shared" si="11"/>
        <v>0.30901699437494745</v>
      </c>
      <c r="E34">
        <f t="shared" si="0"/>
        <v>0.58778525229247325</v>
      </c>
      <c r="F34">
        <f t="shared" si="1"/>
        <v>-0.20791169081775931</v>
      </c>
      <c r="G34">
        <f t="shared" si="2"/>
        <v>0.97814760073380569</v>
      </c>
      <c r="H34">
        <f t="shared" si="3"/>
        <v>-0.40673664307580015</v>
      </c>
      <c r="I34">
        <f t="shared" si="4"/>
        <v>0.79052365306444972</v>
      </c>
      <c r="J34">
        <f t="shared" si="5"/>
        <v>0.65450849718747373</v>
      </c>
      <c r="K34">
        <f t="shared" si="6"/>
        <v>0.86602540378443871</v>
      </c>
      <c r="L34">
        <f t="shared" si="7"/>
        <v>0.85873430902198855</v>
      </c>
      <c r="M34">
        <f t="shared" si="8"/>
        <v>0.82794296495782782</v>
      </c>
      <c r="N34">
        <f t="shared" si="9"/>
        <v>1.095508528337271</v>
      </c>
    </row>
    <row r="40" spans="2:14">
      <c r="B40" t="s">
        <v>566</v>
      </c>
      <c r="C40" t="s">
        <v>567</v>
      </c>
      <c r="D40" t="s">
        <v>568</v>
      </c>
      <c r="F40" t="s">
        <v>569</v>
      </c>
      <c r="G40" t="s">
        <v>570</v>
      </c>
    </row>
    <row r="41" spans="2:14">
      <c r="B41">
        <v>30</v>
      </c>
      <c r="C41">
        <f t="shared" ref="C41:C48" si="12">SIN($B41*PI()/180)</f>
        <v>0.49999999999999994</v>
      </c>
      <c r="D41">
        <f t="shared" ref="D41:D48" si="13">COS($B41*PI()/180)</f>
        <v>0.86602540378443871</v>
      </c>
      <c r="F41" s="6">
        <f t="shared" ref="F41:F42" si="14">32768*C41</f>
        <v>16383.999999999998</v>
      </c>
      <c r="G41" s="6">
        <f t="shared" ref="G41:G42" si="15">32768*D41</f>
        <v>28377.920431208488</v>
      </c>
      <c r="H41" s="6"/>
    </row>
    <row r="42" spans="2:14">
      <c r="B42">
        <v>-30</v>
      </c>
      <c r="C42">
        <f t="shared" si="12"/>
        <v>-0.49999999999999994</v>
      </c>
      <c r="D42">
        <f t="shared" si="13"/>
        <v>0.86602540378443871</v>
      </c>
      <c r="F42" s="6">
        <f t="shared" si="14"/>
        <v>-16383.999999999998</v>
      </c>
      <c r="G42" s="6">
        <f t="shared" si="15"/>
        <v>28377.920431208488</v>
      </c>
      <c r="H42" s="6"/>
    </row>
    <row r="43" spans="2:14">
      <c r="B43">
        <v>1</v>
      </c>
      <c r="C43">
        <f t="shared" si="12"/>
        <v>1.7452406437283512E-2</v>
      </c>
      <c r="D43">
        <f t="shared" si="13"/>
        <v>0.99984769515639127</v>
      </c>
      <c r="F43" s="6">
        <f t="shared" ref="F43:G48" si="16">32768*C43</f>
        <v>571.88045413690611</v>
      </c>
      <c r="G43" s="6">
        <f t="shared" si="16"/>
        <v>32763.009274884629</v>
      </c>
      <c r="H43" s="6"/>
    </row>
    <row r="44" spans="2:14">
      <c r="B44">
        <v>2</v>
      </c>
      <c r="C44">
        <f t="shared" si="12"/>
        <v>3.4899496702500969E-2</v>
      </c>
      <c r="D44">
        <f t="shared" si="13"/>
        <v>0.99939082701909576</v>
      </c>
      <c r="F44" s="6">
        <f t="shared" si="16"/>
        <v>1143.5867079475518</v>
      </c>
      <c r="G44" s="6">
        <f t="shared" si="16"/>
        <v>32748.03861976173</v>
      </c>
      <c r="H44" s="6"/>
    </row>
    <row r="45" spans="2:14">
      <c r="B45">
        <v>4</v>
      </c>
      <c r="C45">
        <f t="shared" si="12"/>
        <v>6.9756473744125302E-2</v>
      </c>
      <c r="D45">
        <f t="shared" si="13"/>
        <v>0.9975640502598242</v>
      </c>
      <c r="F45" s="6">
        <f t="shared" si="16"/>
        <v>2285.7801316474979</v>
      </c>
      <c r="G45" s="6">
        <f t="shared" si="16"/>
        <v>32688.178798913919</v>
      </c>
      <c r="H45" s="6"/>
    </row>
    <row r="46" spans="2:14">
      <c r="B46">
        <v>8</v>
      </c>
      <c r="C46">
        <f t="shared" si="12"/>
        <v>0.13917310096006544</v>
      </c>
      <c r="D46">
        <f t="shared" si="13"/>
        <v>0.99026806874157036</v>
      </c>
      <c r="F46" s="6">
        <f t="shared" si="16"/>
        <v>4560.4241722594243</v>
      </c>
      <c r="G46" s="6">
        <f t="shared" si="16"/>
        <v>32449.104076523778</v>
      </c>
      <c r="H46" s="6"/>
    </row>
    <row r="47" spans="2:14">
      <c r="B47">
        <v>16</v>
      </c>
      <c r="C47">
        <f t="shared" si="12"/>
        <v>0.27563735581699916</v>
      </c>
      <c r="D47">
        <f t="shared" si="13"/>
        <v>0.96126169593831889</v>
      </c>
      <c r="F47" s="6">
        <f t="shared" si="16"/>
        <v>9032.0848754114286</v>
      </c>
      <c r="G47" s="6">
        <f t="shared" si="16"/>
        <v>31498.623252506834</v>
      </c>
      <c r="H47" s="6"/>
    </row>
    <row r="48" spans="2:14">
      <c r="B48">
        <v>32</v>
      </c>
      <c r="C48">
        <f t="shared" si="12"/>
        <v>0.5299192642332049</v>
      </c>
      <c r="D48">
        <f t="shared" si="13"/>
        <v>0.84804809615642596</v>
      </c>
      <c r="F48" s="6">
        <f t="shared" si="16"/>
        <v>17364.394450393658</v>
      </c>
      <c r="G48" s="6">
        <f t="shared" si="16"/>
        <v>27788.840014853766</v>
      </c>
      <c r="H48" s="6"/>
    </row>
    <row r="49" spans="1:8">
      <c r="E49" s="5" t="s">
        <v>681</v>
      </c>
      <c r="F49" s="6" t="s">
        <v>682</v>
      </c>
      <c r="G49" s="6"/>
      <c r="H49" s="6"/>
    </row>
    <row r="50" spans="1:8">
      <c r="B50" s="5" t="s">
        <v>680</v>
      </c>
      <c r="D50" s="6">
        <f>32768*90/PI()</f>
        <v>938734.05154234078</v>
      </c>
      <c r="E50">
        <f>D50/30</f>
        <v>31291.135051411358</v>
      </c>
      <c r="F50" s="6">
        <f>D50/40</f>
        <v>23468.351288558519</v>
      </c>
    </row>
    <row r="52" spans="1:8">
      <c r="A52" t="s">
        <v>21</v>
      </c>
      <c r="B52" t="s">
        <v>666</v>
      </c>
      <c r="C52" s="5" t="s">
        <v>40</v>
      </c>
      <c r="E52" s="5" t="s">
        <v>600</v>
      </c>
      <c r="F52" t="s">
        <v>669</v>
      </c>
      <c r="G52" t="s">
        <v>670</v>
      </c>
    </row>
    <row r="53" spans="1:8">
      <c r="B53" t="s">
        <v>665</v>
      </c>
      <c r="C53">
        <v>296</v>
      </c>
      <c r="D53">
        <f>C53/C54</f>
        <v>0.7219512195121951</v>
      </c>
      <c r="E53">
        <f>1800000/C53</f>
        <v>6081.0810810810808</v>
      </c>
      <c r="F53">
        <f>E54/E53</f>
        <v>0.7219512195121951</v>
      </c>
      <c r="G53">
        <f>4480/E53</f>
        <v>0.73671111111111109</v>
      </c>
    </row>
    <row r="54" spans="1:8">
      <c r="B54" t="s">
        <v>667</v>
      </c>
      <c r="C54">
        <v>410</v>
      </c>
      <c r="E54">
        <f>1800000/C54</f>
        <v>4390.2439024390242</v>
      </c>
    </row>
    <row r="55" spans="1:8">
      <c r="B55" t="s">
        <v>668</v>
      </c>
      <c r="C55">
        <f>(C53+C54)/2</f>
        <v>353</v>
      </c>
      <c r="E55">
        <f>1800000/C55</f>
        <v>5099.1501416430592</v>
      </c>
      <c r="F55">
        <f>E54/E55</f>
        <v>0.86097560975609755</v>
      </c>
      <c r="G55">
        <f>4480/E55</f>
        <v>0.87857777777777779</v>
      </c>
    </row>
    <row r="56" spans="1:8">
      <c r="C56">
        <f>C55/C54</f>
        <v>0.86097560975609755</v>
      </c>
      <c r="F56" t="s">
        <v>671</v>
      </c>
      <c r="G56" t="s">
        <v>672</v>
      </c>
      <c r="H56" t="s">
        <v>673</v>
      </c>
    </row>
    <row r="58" spans="1:8">
      <c r="A58" t="s">
        <v>674</v>
      </c>
      <c r="B58" t="s">
        <v>666</v>
      </c>
      <c r="E58" s="5" t="s">
        <v>600</v>
      </c>
      <c r="F58" t="s">
        <v>669</v>
      </c>
      <c r="G58" t="s">
        <v>675</v>
      </c>
    </row>
    <row r="59" spans="1:8">
      <c r="B59" t="s">
        <v>665</v>
      </c>
      <c r="C59">
        <v>240</v>
      </c>
      <c r="E59">
        <f>1800000/C59</f>
        <v>7500</v>
      </c>
      <c r="F59">
        <f>E60/E59</f>
        <v>0.76433121019108285</v>
      </c>
      <c r="G59">
        <f>6000/E59</f>
        <v>0.8</v>
      </c>
    </row>
    <row r="60" spans="1:8">
      <c r="B60" t="s">
        <v>667</v>
      </c>
      <c r="C60">
        <v>314</v>
      </c>
      <c r="E60">
        <f>1800000/C60</f>
        <v>5732.4840764331211</v>
      </c>
    </row>
    <row r="61" spans="1:8">
      <c r="B61" t="s">
        <v>668</v>
      </c>
      <c r="C61">
        <f>(C59+C60)/2</f>
        <v>277</v>
      </c>
      <c r="E61">
        <f>1800000/C61</f>
        <v>6498.194945848375</v>
      </c>
      <c r="F61">
        <f>E60/E61</f>
        <v>0.88216560509554143</v>
      </c>
      <c r="G61">
        <f>6000/E61</f>
        <v>0.92333333333333334</v>
      </c>
    </row>
    <row r="62" spans="1:8">
      <c r="F62" t="s">
        <v>677</v>
      </c>
      <c r="G62" t="s">
        <v>678</v>
      </c>
      <c r="H62" t="s">
        <v>673</v>
      </c>
    </row>
    <row r="64" spans="1:8">
      <c r="B64" t="s">
        <v>666</v>
      </c>
      <c r="E64" s="5" t="s">
        <v>600</v>
      </c>
      <c r="F64" t="s">
        <v>669</v>
      </c>
      <c r="G64" t="s">
        <v>676</v>
      </c>
    </row>
    <row r="65" spans="1:8">
      <c r="A65" t="s">
        <v>20</v>
      </c>
      <c r="B65" t="s">
        <v>665</v>
      </c>
      <c r="C65">
        <v>200</v>
      </c>
      <c r="E65">
        <f>1800000/C65</f>
        <v>9000</v>
      </c>
      <c r="F65">
        <f>E66/E65</f>
        <v>0.69444444444444442</v>
      </c>
      <c r="G65">
        <f>6673/E65</f>
        <v>0.74144444444444446</v>
      </c>
    </row>
    <row r="66" spans="1:8">
      <c r="B66" t="s">
        <v>667</v>
      </c>
      <c r="C66">
        <v>288</v>
      </c>
      <c r="E66">
        <f>1800000/C66</f>
        <v>6250</v>
      </c>
    </row>
    <row r="67" spans="1:8">
      <c r="B67" t="s">
        <v>668</v>
      </c>
      <c r="C67">
        <f>(C65+C66)/2</f>
        <v>244</v>
      </c>
      <c r="E67">
        <f>1800000/C67</f>
        <v>7377.0491803278692</v>
      </c>
      <c r="F67">
        <f>E66/E67</f>
        <v>0.84722222222222221</v>
      </c>
      <c r="G67">
        <f>6673/E67</f>
        <v>0.90456222222222216</v>
      </c>
    </row>
    <row r="68" spans="1:8">
      <c r="F68" t="s">
        <v>679</v>
      </c>
      <c r="G68" t="s">
        <v>672</v>
      </c>
      <c r="H68" t="s">
        <v>673</v>
      </c>
    </row>
  </sheetData>
  <mergeCells count="2">
    <mergeCell ref="C2:E2"/>
    <mergeCell ref="F2:H2"/>
  </mergeCells>
  <phoneticPr fontId="1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02FF-8861-4A1D-9648-F3A7DDF00DCE}">
  <dimension ref="A1:L47"/>
  <sheetViews>
    <sheetView workbookViewId="0"/>
  </sheetViews>
  <sheetFormatPr defaultRowHeight="14.4"/>
  <cols>
    <col min="2" max="2" width="10.296875" bestFit="1" customWidth="1"/>
    <col min="3" max="4" width="8.8984375" bestFit="1" customWidth="1"/>
    <col min="5" max="5" width="10.3984375" bestFit="1" customWidth="1"/>
    <col min="6" max="6" width="7.296875" bestFit="1" customWidth="1"/>
    <col min="7" max="7" width="6.3984375" bestFit="1" customWidth="1"/>
    <col min="8" max="8" width="8.09765625" bestFit="1" customWidth="1"/>
    <col min="9" max="9" width="5.3984375" bestFit="1" customWidth="1"/>
    <col min="10" max="10" width="9.3984375" bestFit="1" customWidth="1"/>
    <col min="11" max="12" width="13.796875" bestFit="1" customWidth="1"/>
  </cols>
  <sheetData>
    <row r="1" spans="1:12">
      <c r="A1" t="s">
        <v>901</v>
      </c>
      <c r="B1" t="s">
        <v>856</v>
      </c>
      <c r="C1" s="7" t="s">
        <v>844</v>
      </c>
      <c r="D1" s="7" t="s">
        <v>845</v>
      </c>
      <c r="E1" s="7" t="s">
        <v>869</v>
      </c>
      <c r="F1" s="3" t="s">
        <v>836</v>
      </c>
      <c r="G1" s="7" t="s">
        <v>837</v>
      </c>
      <c r="H1" s="70" t="s">
        <v>838</v>
      </c>
      <c r="I1" t="s">
        <v>854</v>
      </c>
      <c r="J1" t="s">
        <v>840</v>
      </c>
      <c r="K1" t="s">
        <v>839</v>
      </c>
      <c r="L1" t="s">
        <v>841</v>
      </c>
    </row>
    <row r="2" spans="1:12">
      <c r="C2" s="7"/>
      <c r="D2" s="7"/>
      <c r="E2" s="7"/>
      <c r="F2" s="4" t="s">
        <v>751</v>
      </c>
      <c r="G2" s="270" t="s">
        <v>846</v>
      </c>
      <c r="H2" s="135" t="s">
        <v>847</v>
      </c>
      <c r="I2" s="5" t="s">
        <v>855</v>
      </c>
      <c r="J2" s="5" t="s">
        <v>849</v>
      </c>
      <c r="K2" s="5" t="s">
        <v>848</v>
      </c>
      <c r="L2" s="5" t="s">
        <v>850</v>
      </c>
    </row>
    <row r="3" spans="1:12" s="273" customFormat="1">
      <c r="C3" s="274" t="s">
        <v>852</v>
      </c>
      <c r="D3" s="274" t="s">
        <v>852</v>
      </c>
      <c r="E3" s="274"/>
      <c r="F3" s="274" t="s">
        <v>851</v>
      </c>
      <c r="G3" s="274" t="s">
        <v>842</v>
      </c>
      <c r="H3" s="274" t="s">
        <v>842</v>
      </c>
      <c r="I3" s="273" t="s">
        <v>843</v>
      </c>
      <c r="K3" s="274" t="s">
        <v>853</v>
      </c>
      <c r="L3" s="273" t="s">
        <v>853</v>
      </c>
    </row>
    <row r="4" spans="1:12">
      <c r="C4" s="7"/>
      <c r="D4" s="7"/>
      <c r="E4" s="7"/>
      <c r="F4" s="271">
        <f>70/12</f>
        <v>5.833333333333333</v>
      </c>
      <c r="G4" s="7"/>
      <c r="H4" s="70"/>
      <c r="J4" s="62">
        <v>0.2</v>
      </c>
    </row>
    <row r="5" spans="1:12">
      <c r="A5" t="s">
        <v>902</v>
      </c>
      <c r="B5" t="s">
        <v>892</v>
      </c>
      <c r="C5" s="7">
        <f t="shared" ref="C5:C47" si="0">20*F5/H5/TAN(L5+K5)</f>
        <v>25.347988876494284</v>
      </c>
      <c r="D5" s="7">
        <f t="shared" ref="D5:D47" si="1">20*F5/H5/TAN(L5-K5)</f>
        <v>35.626554632947247</v>
      </c>
      <c r="E5" s="7">
        <f t="shared" ref="E5:E47" si="2">D5/C5</f>
        <v>1.4054982746968336</v>
      </c>
      <c r="F5" s="3">
        <f t="shared" ref="F5:F47" si="3">F$4</f>
        <v>5.833333333333333</v>
      </c>
      <c r="G5" s="7">
        <v>2</v>
      </c>
      <c r="H5" s="70">
        <v>19</v>
      </c>
      <c r="I5">
        <v>30</v>
      </c>
      <c r="J5">
        <f t="shared" ref="J5:J47" si="4">J$4</f>
        <v>0.2</v>
      </c>
      <c r="K5">
        <f t="shared" ref="K5:K47" si="5">ATAN2(H5*PI(),G5)</f>
        <v>3.3493773380829671E-2</v>
      </c>
      <c r="L5">
        <f t="shared" ref="L5:L47" si="6">ATAN2(COS(PI()*I5/360),J5)</f>
        <v>0.20417014531944275</v>
      </c>
    </row>
    <row r="6" spans="1:12">
      <c r="A6" t="s">
        <v>903</v>
      </c>
      <c r="B6" s="272" t="s">
        <v>898</v>
      </c>
      <c r="C6" s="275">
        <f t="shared" si="0"/>
        <v>22.918782793157014</v>
      </c>
      <c r="D6" s="275">
        <f t="shared" si="1"/>
        <v>34.174621888397596</v>
      </c>
      <c r="E6" s="275">
        <f t="shared" si="2"/>
        <v>1.4911185378745899</v>
      </c>
      <c r="F6" s="276">
        <f t="shared" si="3"/>
        <v>5.833333333333333</v>
      </c>
      <c r="G6" s="275">
        <v>2.5</v>
      </c>
      <c r="H6" s="277">
        <v>18.376000000000001</v>
      </c>
      <c r="I6" s="272">
        <v>60</v>
      </c>
      <c r="J6" s="272">
        <f t="shared" si="4"/>
        <v>0.2</v>
      </c>
      <c r="K6" s="272">
        <f t="shared" si="5"/>
        <v>4.3278070690653828E-2</v>
      </c>
      <c r="L6" s="272">
        <f t="shared" si="6"/>
        <v>0.22696107904167076</v>
      </c>
    </row>
    <row r="7" spans="1:12">
      <c r="A7" t="s">
        <v>902</v>
      </c>
      <c r="B7" t="s">
        <v>893</v>
      </c>
      <c r="C7" s="7">
        <f t="shared" si="0"/>
        <v>22.990514545402689</v>
      </c>
      <c r="D7" s="7">
        <f t="shared" si="1"/>
        <v>48.242550621859671</v>
      </c>
      <c r="E7" s="7">
        <f t="shared" si="2"/>
        <v>2.0983675909727091</v>
      </c>
      <c r="F7" s="3">
        <f t="shared" si="3"/>
        <v>5.833333333333333</v>
      </c>
      <c r="G7" s="7">
        <v>4</v>
      </c>
      <c r="H7" s="70">
        <v>18</v>
      </c>
      <c r="I7">
        <v>30</v>
      </c>
      <c r="J7">
        <f t="shared" si="4"/>
        <v>0.2</v>
      </c>
      <c r="K7">
        <f t="shared" si="5"/>
        <v>7.0617907742703254E-2</v>
      </c>
      <c r="L7">
        <f t="shared" si="6"/>
        <v>0.20417014531944275</v>
      </c>
    </row>
    <row r="8" spans="1:12">
      <c r="A8" t="s">
        <v>904</v>
      </c>
      <c r="B8" t="s">
        <v>868</v>
      </c>
      <c r="C8" s="7">
        <f t="shared" si="0"/>
        <v>24.370060182965787</v>
      </c>
      <c r="D8" s="7">
        <f t="shared" si="1"/>
        <v>37.78204659642212</v>
      </c>
      <c r="E8" s="7">
        <f t="shared" si="2"/>
        <v>1.5503468728744076</v>
      </c>
      <c r="F8" s="3">
        <f t="shared" si="3"/>
        <v>5.833333333333333</v>
      </c>
      <c r="G8" s="7">
        <f>25.4/10</f>
        <v>2.54</v>
      </c>
      <c r="H8" s="70">
        <f>17.424</f>
        <v>17.423999999999999</v>
      </c>
      <c r="I8">
        <v>55</v>
      </c>
      <c r="J8">
        <f t="shared" si="4"/>
        <v>0.2</v>
      </c>
      <c r="K8">
        <f t="shared" si="5"/>
        <v>4.6368662963722378E-2</v>
      </c>
      <c r="L8">
        <f t="shared" si="6"/>
        <v>0.2217678303245223</v>
      </c>
    </row>
    <row r="9" spans="1:12">
      <c r="A9" t="s">
        <v>905</v>
      </c>
      <c r="B9" s="5" t="s">
        <v>877</v>
      </c>
      <c r="C9" s="7">
        <f t="shared" si="0"/>
        <v>23.912039244343514</v>
      </c>
      <c r="D9" s="7">
        <f t="shared" si="1"/>
        <v>36.739139576046703</v>
      </c>
      <c r="E9" s="7">
        <f t="shared" si="2"/>
        <v>1.5364285413147056</v>
      </c>
      <c r="F9" s="3">
        <f t="shared" si="3"/>
        <v>5.833333333333333</v>
      </c>
      <c r="G9" s="7">
        <f>25.4/10</f>
        <v>2.54</v>
      </c>
      <c r="H9" s="70">
        <v>17.399000000000001</v>
      </c>
      <c r="I9">
        <v>60</v>
      </c>
      <c r="J9">
        <f t="shared" si="4"/>
        <v>0.2</v>
      </c>
      <c r="K9">
        <f t="shared" si="5"/>
        <v>4.6435192771676452E-2</v>
      </c>
      <c r="L9">
        <f t="shared" si="6"/>
        <v>0.22696107904167076</v>
      </c>
    </row>
    <row r="10" spans="1:12">
      <c r="A10" t="s">
        <v>902</v>
      </c>
      <c r="B10" t="s">
        <v>894</v>
      </c>
      <c r="C10" s="7">
        <f t="shared" si="0"/>
        <v>27.850454366249863</v>
      </c>
      <c r="D10" s="7">
        <f t="shared" si="1"/>
        <v>40.776366653028838</v>
      </c>
      <c r="E10" s="7">
        <f t="shared" si="2"/>
        <v>1.4641185424408385</v>
      </c>
      <c r="F10" s="3">
        <f t="shared" si="3"/>
        <v>5.833333333333333</v>
      </c>
      <c r="G10" s="7">
        <v>2</v>
      </c>
      <c r="H10" s="70">
        <v>17</v>
      </c>
      <c r="I10">
        <v>30</v>
      </c>
      <c r="J10">
        <f t="shared" si="4"/>
        <v>0.2</v>
      </c>
      <c r="K10">
        <f t="shared" si="5"/>
        <v>3.7430731206126604E-2</v>
      </c>
      <c r="L10">
        <f t="shared" si="6"/>
        <v>0.20417014531944275</v>
      </c>
    </row>
    <row r="11" spans="1:12">
      <c r="A11" t="s">
        <v>903</v>
      </c>
      <c r="B11" s="272" t="s">
        <v>899</v>
      </c>
      <c r="C11" s="275">
        <f t="shared" si="0"/>
        <v>25.200135658169735</v>
      </c>
      <c r="D11" s="275">
        <f t="shared" si="1"/>
        <v>39.508360440448548</v>
      </c>
      <c r="E11" s="275">
        <f t="shared" si="2"/>
        <v>1.5677836411821129</v>
      </c>
      <c r="F11" s="276">
        <f t="shared" si="3"/>
        <v>5.833333333333333</v>
      </c>
      <c r="G11" s="275">
        <v>2.5</v>
      </c>
      <c r="H11" s="277">
        <v>16.376000000000001</v>
      </c>
      <c r="I11" s="272">
        <v>60</v>
      </c>
      <c r="J11" s="272">
        <f t="shared" si="4"/>
        <v>0.2</v>
      </c>
      <c r="K11" s="272">
        <f t="shared" si="5"/>
        <v>4.8555766228387108E-2</v>
      </c>
      <c r="L11" s="272">
        <f t="shared" si="6"/>
        <v>0.22696107904167076</v>
      </c>
    </row>
    <row r="12" spans="1:12">
      <c r="A12" t="s">
        <v>902</v>
      </c>
      <c r="B12" t="s">
        <v>895</v>
      </c>
      <c r="C12" s="7">
        <f t="shared" si="0"/>
        <v>25.019902400640632</v>
      </c>
      <c r="D12" s="7">
        <f t="shared" si="1"/>
        <v>58.141990413968884</v>
      </c>
      <c r="E12" s="7">
        <f t="shared" si="2"/>
        <v>2.3238296250300388</v>
      </c>
      <c r="F12" s="3">
        <f t="shared" si="3"/>
        <v>5.833333333333333</v>
      </c>
      <c r="G12" s="7">
        <v>4</v>
      </c>
      <c r="H12" s="70">
        <v>16</v>
      </c>
      <c r="I12">
        <v>30</v>
      </c>
      <c r="J12">
        <f t="shared" si="4"/>
        <v>0.2</v>
      </c>
      <c r="K12">
        <f t="shared" si="5"/>
        <v>7.9410130166432544E-2</v>
      </c>
      <c r="L12">
        <f t="shared" si="6"/>
        <v>0.20417014531944275</v>
      </c>
    </row>
    <row r="13" spans="1:12">
      <c r="A13" t="s">
        <v>902</v>
      </c>
      <c r="B13" t="s">
        <v>891</v>
      </c>
      <c r="C13" s="7">
        <f t="shared" si="0"/>
        <v>30.89994186752936</v>
      </c>
      <c r="D13" s="7">
        <f t="shared" si="1"/>
        <v>47.6638101585621</v>
      </c>
      <c r="E13" s="7">
        <f t="shared" si="2"/>
        <v>1.5425210300686276</v>
      </c>
      <c r="F13" s="3">
        <f t="shared" si="3"/>
        <v>5.833333333333333</v>
      </c>
      <c r="G13" s="7">
        <v>2</v>
      </c>
      <c r="H13" s="70">
        <v>15</v>
      </c>
      <c r="I13">
        <v>30</v>
      </c>
      <c r="J13">
        <f t="shared" si="4"/>
        <v>0.2</v>
      </c>
      <c r="K13">
        <f t="shared" si="5"/>
        <v>4.241586296923907E-2</v>
      </c>
      <c r="L13">
        <f t="shared" si="6"/>
        <v>0.20417014531944275</v>
      </c>
    </row>
    <row r="14" spans="1:12">
      <c r="A14" t="s">
        <v>903</v>
      </c>
      <c r="B14" s="272" t="s">
        <v>870</v>
      </c>
      <c r="C14" s="275">
        <f t="shared" si="0"/>
        <v>28.648154223065713</v>
      </c>
      <c r="D14" s="275">
        <f t="shared" si="1"/>
        <v>42.717556317904879</v>
      </c>
      <c r="E14" s="275">
        <f t="shared" si="2"/>
        <v>1.491110246939098</v>
      </c>
      <c r="F14" s="276">
        <f t="shared" si="3"/>
        <v>5.833333333333333</v>
      </c>
      <c r="G14" s="275">
        <v>2</v>
      </c>
      <c r="H14" s="277">
        <v>14.701000000000001</v>
      </c>
      <c r="I14" s="272">
        <v>60</v>
      </c>
      <c r="J14" s="272">
        <f t="shared" si="4"/>
        <v>0.2</v>
      </c>
      <c r="K14" s="272">
        <f t="shared" si="5"/>
        <v>4.3277482648311209E-2</v>
      </c>
      <c r="L14" s="272">
        <f t="shared" si="6"/>
        <v>0.22696107904167076</v>
      </c>
    </row>
    <row r="15" spans="1:12">
      <c r="A15" t="s">
        <v>904</v>
      </c>
      <c r="B15" t="s">
        <v>867</v>
      </c>
      <c r="C15" s="7">
        <f t="shared" si="0"/>
        <v>28.968758523929719</v>
      </c>
      <c r="D15" s="7">
        <f t="shared" si="1"/>
        <v>46.99801079207834</v>
      </c>
      <c r="E15" s="7">
        <f t="shared" si="2"/>
        <v>1.6223688272058849</v>
      </c>
      <c r="F15" s="3">
        <f t="shared" si="3"/>
        <v>5.833333333333333</v>
      </c>
      <c r="G15" s="7">
        <f>25.4/11</f>
        <v>2.3090909090909091</v>
      </c>
      <c r="H15" s="70">
        <f>14.396</f>
        <v>14.396000000000001</v>
      </c>
      <c r="I15">
        <v>55</v>
      </c>
      <c r="J15">
        <f t="shared" si="4"/>
        <v>0.2</v>
      </c>
      <c r="K15">
        <f t="shared" si="5"/>
        <v>5.101200355782691E-2</v>
      </c>
      <c r="L15">
        <f t="shared" si="6"/>
        <v>0.2217678303245223</v>
      </c>
    </row>
    <row r="16" spans="1:12">
      <c r="A16" t="s">
        <v>905</v>
      </c>
      <c r="B16" t="s">
        <v>878</v>
      </c>
      <c r="C16" s="7">
        <f t="shared" si="0"/>
        <v>28.431344300254384</v>
      </c>
      <c r="D16" s="7">
        <f t="shared" si="1"/>
        <v>45.66526691678331</v>
      </c>
      <c r="E16" s="7">
        <f t="shared" si="2"/>
        <v>1.6061592598129357</v>
      </c>
      <c r="F16" s="3">
        <f t="shared" si="3"/>
        <v>5.833333333333333</v>
      </c>
      <c r="G16" s="7">
        <f>25.4/11</f>
        <v>2.3090909090909091</v>
      </c>
      <c r="H16" s="70">
        <v>14.375999999999999</v>
      </c>
      <c r="I16">
        <v>60</v>
      </c>
      <c r="J16">
        <f t="shared" si="4"/>
        <v>0.2</v>
      </c>
      <c r="K16">
        <f t="shared" si="5"/>
        <v>5.1082848533991164E-2</v>
      </c>
      <c r="L16">
        <f t="shared" si="6"/>
        <v>0.22696107904167076</v>
      </c>
    </row>
    <row r="17" spans="1:12">
      <c r="A17" t="s">
        <v>902</v>
      </c>
      <c r="B17" t="s">
        <v>890</v>
      </c>
      <c r="C17" s="7">
        <f t="shared" si="0"/>
        <v>27.437533511471603</v>
      </c>
      <c r="D17" s="7">
        <f t="shared" si="1"/>
        <v>73.122806704526781</v>
      </c>
      <c r="E17" s="7">
        <f t="shared" si="2"/>
        <v>2.6650648708621794</v>
      </c>
      <c r="F17" s="3">
        <f t="shared" si="3"/>
        <v>5.833333333333333</v>
      </c>
      <c r="G17" s="7">
        <v>4</v>
      </c>
      <c r="H17" s="70">
        <v>14</v>
      </c>
      <c r="I17">
        <v>30</v>
      </c>
      <c r="J17">
        <f t="shared" si="4"/>
        <v>0.2</v>
      </c>
      <c r="K17">
        <f t="shared" si="5"/>
        <v>9.0696178013642673E-2</v>
      </c>
      <c r="L17">
        <f t="shared" si="6"/>
        <v>0.20417014531944275</v>
      </c>
    </row>
    <row r="18" spans="1:12">
      <c r="A18" t="s">
        <v>902</v>
      </c>
      <c r="B18" t="s">
        <v>896</v>
      </c>
      <c r="C18" s="7">
        <f t="shared" si="0"/>
        <v>34.697110971486936</v>
      </c>
      <c r="D18" s="7">
        <f t="shared" si="1"/>
        <v>57.345006848491082</v>
      </c>
      <c r="E18" s="7">
        <f t="shared" si="2"/>
        <v>1.6527314592738145</v>
      </c>
      <c r="F18" s="3">
        <f t="shared" si="3"/>
        <v>5.833333333333333</v>
      </c>
      <c r="G18" s="7">
        <v>2</v>
      </c>
      <c r="H18" s="70">
        <v>13</v>
      </c>
      <c r="I18">
        <v>30</v>
      </c>
      <c r="J18">
        <f t="shared" si="4"/>
        <v>0.2</v>
      </c>
      <c r="K18">
        <f t="shared" si="5"/>
        <v>4.8931661800794606E-2</v>
      </c>
      <c r="L18">
        <f t="shared" si="6"/>
        <v>0.20417014531944275</v>
      </c>
    </row>
    <row r="19" spans="1:12">
      <c r="A19" t="s">
        <v>904</v>
      </c>
      <c r="B19" t="s">
        <v>871</v>
      </c>
      <c r="C19" s="7">
        <f t="shared" si="0"/>
        <v>32.117361249625134</v>
      </c>
      <c r="D19" s="7">
        <f t="shared" si="1"/>
        <v>52.640363943482868</v>
      </c>
      <c r="E19" s="7">
        <f t="shared" si="2"/>
        <v>1.6390002757183944</v>
      </c>
      <c r="F19" s="3">
        <f t="shared" si="3"/>
        <v>5.833333333333333</v>
      </c>
      <c r="G19" s="7">
        <f>25.4/12</f>
        <v>2.1166666666666667</v>
      </c>
      <c r="H19" s="70">
        <v>12.933</v>
      </c>
      <c r="I19">
        <v>55</v>
      </c>
      <c r="J19">
        <f t="shared" si="4"/>
        <v>0.2</v>
      </c>
      <c r="K19">
        <f t="shared" si="5"/>
        <v>5.2048820562761451E-2</v>
      </c>
      <c r="L19">
        <f t="shared" si="6"/>
        <v>0.2217678303245223</v>
      </c>
    </row>
    <row r="20" spans="1:12">
      <c r="A20" t="s">
        <v>905</v>
      </c>
      <c r="B20" t="s">
        <v>879</v>
      </c>
      <c r="C20" s="7">
        <f t="shared" si="0"/>
        <v>31.527484053083761</v>
      </c>
      <c r="D20" s="7">
        <f t="shared" si="1"/>
        <v>51.14963022504277</v>
      </c>
      <c r="E20" s="7">
        <f t="shared" si="2"/>
        <v>1.6223822408068027</v>
      </c>
      <c r="F20" s="3">
        <f t="shared" si="3"/>
        <v>5.833333333333333</v>
      </c>
      <c r="G20" s="7">
        <f>25.4/12</f>
        <v>2.1166666666666667</v>
      </c>
      <c r="H20" s="70">
        <v>12.913</v>
      </c>
      <c r="I20">
        <v>60</v>
      </c>
      <c r="J20">
        <f t="shared" si="4"/>
        <v>0.2</v>
      </c>
      <c r="K20">
        <f t="shared" si="5"/>
        <v>5.2129289316163542E-2</v>
      </c>
      <c r="L20">
        <f t="shared" si="6"/>
        <v>0.22696107904167076</v>
      </c>
    </row>
    <row r="21" spans="1:12">
      <c r="A21" t="s">
        <v>903</v>
      </c>
      <c r="B21" s="272" t="s">
        <v>900</v>
      </c>
      <c r="C21" s="275">
        <f t="shared" si="0"/>
        <v>32.303352144070914</v>
      </c>
      <c r="D21" s="275">
        <f t="shared" si="1"/>
        <v>51.388874527222661</v>
      </c>
      <c r="E21" s="275">
        <f t="shared" si="2"/>
        <v>1.5908217295230389</v>
      </c>
      <c r="F21" s="276">
        <f t="shared" si="3"/>
        <v>5.833333333333333</v>
      </c>
      <c r="G21" s="275">
        <v>2</v>
      </c>
      <c r="H21" s="277">
        <v>12.701000000000001</v>
      </c>
      <c r="I21" s="272">
        <v>60</v>
      </c>
      <c r="J21" s="272">
        <f t="shared" si="4"/>
        <v>0.2</v>
      </c>
      <c r="K21" s="272">
        <f t="shared" si="5"/>
        <v>5.0081681137498141E-2</v>
      </c>
      <c r="L21" s="272">
        <f t="shared" si="6"/>
        <v>0.22696107904167076</v>
      </c>
    </row>
    <row r="22" spans="1:12">
      <c r="A22" t="s">
        <v>902</v>
      </c>
      <c r="B22" t="s">
        <v>897</v>
      </c>
      <c r="C22" s="7">
        <f t="shared" si="0"/>
        <v>32.406818485958595</v>
      </c>
      <c r="D22" s="7">
        <f t="shared" si="1"/>
        <v>72.561640868651338</v>
      </c>
      <c r="E22" s="7">
        <f t="shared" si="2"/>
        <v>2.2390856078664818</v>
      </c>
      <c r="F22" s="3">
        <f t="shared" si="3"/>
        <v>5.833333333333333</v>
      </c>
      <c r="G22" s="7">
        <v>3</v>
      </c>
      <c r="H22" s="70">
        <v>12.5</v>
      </c>
      <c r="I22">
        <v>30</v>
      </c>
      <c r="J22">
        <f t="shared" si="4"/>
        <v>0.2</v>
      </c>
      <c r="K22">
        <f t="shared" si="5"/>
        <v>7.6246275853346548E-2</v>
      </c>
      <c r="L22">
        <f t="shared" si="6"/>
        <v>0.20417014531944275</v>
      </c>
    </row>
    <row r="23" spans="1:12">
      <c r="A23" t="s">
        <v>904</v>
      </c>
      <c r="B23" t="s">
        <v>866</v>
      </c>
      <c r="C23" s="7">
        <f t="shared" si="0"/>
        <v>35.616358471405526</v>
      </c>
      <c r="D23" s="7">
        <f t="shared" si="1"/>
        <v>62.745077574842746</v>
      </c>
      <c r="E23" s="7">
        <f t="shared" si="2"/>
        <v>1.7616926678570304</v>
      </c>
      <c r="F23" s="3">
        <f t="shared" si="3"/>
        <v>5.833333333333333</v>
      </c>
      <c r="G23" s="7">
        <f>25.4/12</f>
        <v>2.1166666666666667</v>
      </c>
      <c r="H23" s="70">
        <f>11.345</f>
        <v>11.345000000000001</v>
      </c>
      <c r="I23">
        <v>55</v>
      </c>
      <c r="J23">
        <f t="shared" si="4"/>
        <v>0.2</v>
      </c>
      <c r="K23">
        <f t="shared" si="5"/>
        <v>5.9318246122077888E-2</v>
      </c>
      <c r="L23">
        <f t="shared" si="6"/>
        <v>0.2217678303245223</v>
      </c>
    </row>
    <row r="24" spans="1:12">
      <c r="A24" t="s">
        <v>905</v>
      </c>
      <c r="B24" t="s">
        <v>880</v>
      </c>
      <c r="C24" s="7">
        <f t="shared" si="0"/>
        <v>35.320567831396943</v>
      </c>
      <c r="D24" s="7">
        <f t="shared" si="1"/>
        <v>58.547702784496195</v>
      </c>
      <c r="E24" s="7">
        <f t="shared" si="2"/>
        <v>1.6576093301776516</v>
      </c>
      <c r="F24" s="3">
        <f t="shared" si="3"/>
        <v>5.833333333333333</v>
      </c>
      <c r="G24" s="7">
        <f>25.4/13</f>
        <v>1.9538461538461538</v>
      </c>
      <c r="H24" s="70">
        <v>11.43</v>
      </c>
      <c r="I24">
        <v>60</v>
      </c>
      <c r="J24">
        <f t="shared" si="4"/>
        <v>0.2</v>
      </c>
      <c r="K24">
        <f t="shared" si="5"/>
        <v>5.4358343121934868E-2</v>
      </c>
      <c r="L24">
        <f t="shared" si="6"/>
        <v>0.22696107904167076</v>
      </c>
    </row>
    <row r="25" spans="1:12">
      <c r="A25" t="s">
        <v>902</v>
      </c>
      <c r="B25" t="s">
        <v>885</v>
      </c>
      <c r="C25" s="7">
        <f t="shared" si="0"/>
        <v>39.553751074341655</v>
      </c>
      <c r="D25" s="7">
        <f t="shared" si="1"/>
        <v>71.947340272733427</v>
      </c>
      <c r="E25" s="7">
        <f t="shared" si="2"/>
        <v>1.8189764135772537</v>
      </c>
      <c r="F25" s="3">
        <f t="shared" si="3"/>
        <v>5.833333333333333</v>
      </c>
      <c r="G25" s="7">
        <v>2</v>
      </c>
      <c r="H25" s="70">
        <v>11</v>
      </c>
      <c r="I25">
        <v>30</v>
      </c>
      <c r="J25">
        <f t="shared" si="4"/>
        <v>0.2</v>
      </c>
      <c r="K25">
        <f t="shared" si="5"/>
        <v>5.781003816123597E-2</v>
      </c>
      <c r="L25">
        <f t="shared" si="6"/>
        <v>0.20417014531944275</v>
      </c>
    </row>
    <row r="26" spans="1:12">
      <c r="A26" t="s">
        <v>903</v>
      </c>
      <c r="B26" s="272" t="s">
        <v>857</v>
      </c>
      <c r="C26" s="275">
        <f t="shared" si="0"/>
        <v>37.604259723213353</v>
      </c>
      <c r="D26" s="275">
        <f t="shared" si="1"/>
        <v>60.486082807293357</v>
      </c>
      <c r="E26" s="275">
        <f t="shared" si="2"/>
        <v>1.6084901884122162</v>
      </c>
      <c r="F26" s="276">
        <f t="shared" si="3"/>
        <v>5.833333333333333</v>
      </c>
      <c r="G26" s="275">
        <v>1.75</v>
      </c>
      <c r="H26" s="277">
        <v>10.863</v>
      </c>
      <c r="I26" s="272">
        <v>60</v>
      </c>
      <c r="J26" s="272">
        <f t="shared" si="4"/>
        <v>0.2</v>
      </c>
      <c r="K26" s="272">
        <f t="shared" si="5"/>
        <v>5.1233988590158611E-2</v>
      </c>
      <c r="L26" s="272">
        <f t="shared" si="6"/>
        <v>0.22696107904167076</v>
      </c>
    </row>
    <row r="27" spans="1:12">
      <c r="A27" t="s">
        <v>902</v>
      </c>
      <c r="B27" t="s">
        <v>889</v>
      </c>
      <c r="C27" s="7">
        <f t="shared" si="0"/>
        <v>36.58337801529548</v>
      </c>
      <c r="D27" s="7">
        <f t="shared" si="1"/>
        <v>97.497075606035722</v>
      </c>
      <c r="E27" s="7">
        <f t="shared" si="2"/>
        <v>2.6650648708621789</v>
      </c>
      <c r="F27" s="3">
        <f t="shared" si="3"/>
        <v>5.833333333333333</v>
      </c>
      <c r="G27" s="7">
        <v>3</v>
      </c>
      <c r="H27" s="70">
        <v>10.5</v>
      </c>
      <c r="I27">
        <v>30</v>
      </c>
      <c r="J27">
        <f t="shared" si="4"/>
        <v>0.2</v>
      </c>
      <c r="K27">
        <f t="shared" si="5"/>
        <v>9.0696178013642673E-2</v>
      </c>
      <c r="L27">
        <f t="shared" si="6"/>
        <v>0.20417014531944275</v>
      </c>
    </row>
    <row r="28" spans="1:12">
      <c r="A28" t="s">
        <v>904</v>
      </c>
      <c r="B28" t="s">
        <v>872</v>
      </c>
      <c r="C28" s="7">
        <f t="shared" si="0"/>
        <v>40.815338522429343</v>
      </c>
      <c r="D28" s="7">
        <f t="shared" si="1"/>
        <v>70.94509345842107</v>
      </c>
      <c r="E28" s="7">
        <f t="shared" si="2"/>
        <v>1.738196864873103</v>
      </c>
      <c r="F28" s="3">
        <f t="shared" si="3"/>
        <v>5.833333333333333</v>
      </c>
      <c r="G28" s="7">
        <f>25.4/14</f>
        <v>1.8142857142857143</v>
      </c>
      <c r="H28" s="70">
        <v>9.9499999999999993</v>
      </c>
      <c r="I28">
        <v>55</v>
      </c>
      <c r="J28">
        <f t="shared" si="4"/>
        <v>0.2</v>
      </c>
      <c r="K28">
        <f t="shared" si="5"/>
        <v>5.7975668512970965E-2</v>
      </c>
      <c r="L28">
        <f t="shared" si="6"/>
        <v>0.2217678303245223</v>
      </c>
    </row>
    <row r="29" spans="1:12">
      <c r="A29" t="s">
        <v>905</v>
      </c>
      <c r="B29" t="s">
        <v>881</v>
      </c>
      <c r="C29" s="7">
        <f t="shared" si="0"/>
        <v>40.081413422500795</v>
      </c>
      <c r="D29" s="7">
        <f t="shared" si="1"/>
        <v>68.874089006296757</v>
      </c>
      <c r="E29" s="7">
        <f t="shared" si="2"/>
        <v>1.7183547965310126</v>
      </c>
      <c r="F29" s="3">
        <f t="shared" si="3"/>
        <v>5.833333333333333</v>
      </c>
      <c r="G29" s="7">
        <f>25.4/14</f>
        <v>1.8142857142857143</v>
      </c>
      <c r="H29" s="70">
        <v>9.9339999999999993</v>
      </c>
      <c r="I29">
        <v>60</v>
      </c>
      <c r="J29">
        <f t="shared" si="4"/>
        <v>0.2</v>
      </c>
      <c r="K29">
        <f t="shared" si="5"/>
        <v>5.8068836271074689E-2</v>
      </c>
      <c r="L29">
        <f t="shared" si="6"/>
        <v>0.22696107904167076</v>
      </c>
    </row>
    <row r="30" spans="1:12">
      <c r="A30" t="s">
        <v>902</v>
      </c>
      <c r="B30" t="s">
        <v>888</v>
      </c>
      <c r="C30" s="7">
        <f t="shared" si="0"/>
        <v>48.237773620239871</v>
      </c>
      <c r="D30" s="7">
        <f t="shared" si="1"/>
        <v>82.009938177686806</v>
      </c>
      <c r="E30" s="7">
        <f t="shared" si="2"/>
        <v>1.7001186419448808</v>
      </c>
      <c r="F30" s="3">
        <f t="shared" si="3"/>
        <v>5.833333333333333</v>
      </c>
      <c r="G30" s="7">
        <v>1.5</v>
      </c>
      <c r="H30" s="70">
        <v>9.25</v>
      </c>
      <c r="I30">
        <v>30</v>
      </c>
      <c r="J30">
        <f t="shared" si="4"/>
        <v>0.2</v>
      </c>
      <c r="K30">
        <f t="shared" si="5"/>
        <v>5.1572049035632367E-2</v>
      </c>
      <c r="L30">
        <f t="shared" si="6"/>
        <v>0.20417014531944275</v>
      </c>
    </row>
    <row r="31" spans="1:12">
      <c r="A31" t="s">
        <v>903</v>
      </c>
      <c r="B31" s="272" t="s">
        <v>858</v>
      </c>
      <c r="C31" s="275">
        <f t="shared" si="0"/>
        <v>44.982260252381145</v>
      </c>
      <c r="D31" s="275">
        <f t="shared" si="1"/>
        <v>73.485922628340731</v>
      </c>
      <c r="E31" s="275">
        <f t="shared" si="2"/>
        <v>1.6336645205473137</v>
      </c>
      <c r="F31" s="276">
        <f t="shared" si="3"/>
        <v>5.833333333333333</v>
      </c>
      <c r="G31" s="275">
        <v>1.5</v>
      </c>
      <c r="H31" s="277">
        <v>9.0259999999999998</v>
      </c>
      <c r="I31" s="272">
        <v>60</v>
      </c>
      <c r="J31" s="272">
        <f t="shared" si="4"/>
        <v>0.2</v>
      </c>
      <c r="K31" s="272">
        <f t="shared" si="5"/>
        <v>5.2849569517927596E-2</v>
      </c>
      <c r="L31" s="272">
        <f t="shared" si="6"/>
        <v>0.22696107904167076</v>
      </c>
    </row>
    <row r="32" spans="1:12">
      <c r="A32" t="s">
        <v>902</v>
      </c>
      <c r="B32" t="s">
        <v>887</v>
      </c>
      <c r="C32" s="7">
        <f t="shared" si="0"/>
        <v>45.981029090805379</v>
      </c>
      <c r="D32" s="7">
        <f t="shared" si="1"/>
        <v>96.485101243719342</v>
      </c>
      <c r="E32" s="7">
        <f t="shared" si="2"/>
        <v>2.0983675909727091</v>
      </c>
      <c r="F32" s="3">
        <f t="shared" si="3"/>
        <v>5.833333333333333</v>
      </c>
      <c r="G32" s="7">
        <v>2</v>
      </c>
      <c r="H32" s="70">
        <v>9</v>
      </c>
      <c r="I32">
        <v>30</v>
      </c>
      <c r="J32">
        <f t="shared" si="4"/>
        <v>0.2</v>
      </c>
      <c r="K32">
        <f t="shared" si="5"/>
        <v>7.0617907742703254E-2</v>
      </c>
      <c r="L32">
        <f t="shared" si="6"/>
        <v>0.20417014531944275</v>
      </c>
    </row>
    <row r="33" spans="1:12">
      <c r="A33" t="s">
        <v>904</v>
      </c>
      <c r="B33" t="s">
        <v>865</v>
      </c>
      <c r="C33" s="7">
        <f t="shared" si="0"/>
        <v>47.48739252599372</v>
      </c>
      <c r="D33" s="7">
        <f t="shared" si="1"/>
        <v>83.656734103777879</v>
      </c>
      <c r="E33" s="7">
        <f t="shared" si="2"/>
        <v>1.761661983398767</v>
      </c>
      <c r="F33" s="3">
        <f t="shared" si="3"/>
        <v>5.833333333333333</v>
      </c>
      <c r="G33" s="7">
        <f>25.4/16</f>
        <v>1.5874999999999999</v>
      </c>
      <c r="H33" s="70">
        <v>8.5090000000000003</v>
      </c>
      <c r="I33">
        <v>55</v>
      </c>
      <c r="J33">
        <f t="shared" si="4"/>
        <v>0.2</v>
      </c>
      <c r="K33">
        <f t="shared" si="5"/>
        <v>5.9316507398279934E-2</v>
      </c>
      <c r="L33">
        <f t="shared" si="6"/>
        <v>0.2217678303245223</v>
      </c>
    </row>
    <row r="34" spans="1:12">
      <c r="A34" t="s">
        <v>905</v>
      </c>
      <c r="B34" t="s">
        <v>882</v>
      </c>
      <c r="C34" s="7">
        <f t="shared" si="0"/>
        <v>46.642653662112536</v>
      </c>
      <c r="D34" s="7">
        <f t="shared" si="1"/>
        <v>81.212993475128613</v>
      </c>
      <c r="E34" s="7">
        <f t="shared" si="2"/>
        <v>1.7411743779299009</v>
      </c>
      <c r="F34" s="3">
        <f t="shared" si="3"/>
        <v>5.833333333333333</v>
      </c>
      <c r="G34" s="7">
        <f>25.4/16</f>
        <v>1.5874999999999999</v>
      </c>
      <c r="H34" s="70">
        <v>8.4939999999999998</v>
      </c>
      <c r="I34">
        <v>60</v>
      </c>
      <c r="J34">
        <f t="shared" si="4"/>
        <v>0.2</v>
      </c>
      <c r="K34">
        <f t="shared" si="5"/>
        <v>5.9421011347709815E-2</v>
      </c>
      <c r="L34">
        <f t="shared" si="6"/>
        <v>0.22696107904167076</v>
      </c>
    </row>
    <row r="35" spans="1:12">
      <c r="A35" t="s">
        <v>902</v>
      </c>
      <c r="B35" t="s">
        <v>886</v>
      </c>
      <c r="C35" s="7">
        <f t="shared" si="0"/>
        <v>58.159760004540722</v>
      </c>
      <c r="D35" s="7">
        <f t="shared" si="1"/>
        <v>115.52134673133516</v>
      </c>
      <c r="E35" s="7">
        <f t="shared" si="2"/>
        <v>1.9862761937517628</v>
      </c>
      <c r="F35" s="3">
        <f t="shared" si="3"/>
        <v>5.833333333333333</v>
      </c>
      <c r="G35" s="7">
        <v>1.5</v>
      </c>
      <c r="H35" s="70">
        <v>7.25</v>
      </c>
      <c r="I35">
        <v>30</v>
      </c>
      <c r="J35">
        <f t="shared" si="4"/>
        <v>0.2</v>
      </c>
      <c r="K35">
        <f t="shared" si="5"/>
        <v>6.5762253449656471E-2</v>
      </c>
      <c r="L35">
        <f t="shared" si="6"/>
        <v>0.20417014531944275</v>
      </c>
    </row>
    <row r="36" spans="1:12">
      <c r="A36" t="s">
        <v>903</v>
      </c>
      <c r="B36" s="272" t="s">
        <v>859</v>
      </c>
      <c r="C36" s="275">
        <f t="shared" si="0"/>
        <v>55.967782909299842</v>
      </c>
      <c r="D36" s="275">
        <f t="shared" si="1"/>
        <v>93.619468941474651</v>
      </c>
      <c r="E36" s="275">
        <f t="shared" si="2"/>
        <v>1.6727385662782517</v>
      </c>
      <c r="F36" s="276">
        <f t="shared" si="3"/>
        <v>5.833333333333333</v>
      </c>
      <c r="G36" s="275">
        <v>1.25</v>
      </c>
      <c r="H36" s="277">
        <v>7.1879999999999997</v>
      </c>
      <c r="I36" s="272">
        <v>60</v>
      </c>
      <c r="J36" s="272">
        <f t="shared" si="4"/>
        <v>0.2</v>
      </c>
      <c r="K36" s="272">
        <f t="shared" si="5"/>
        <v>5.5297956763600629E-2</v>
      </c>
      <c r="L36" s="272">
        <f t="shared" si="6"/>
        <v>0.22696107904167076</v>
      </c>
    </row>
    <row r="37" spans="1:12">
      <c r="A37" t="s">
        <v>904</v>
      </c>
      <c r="B37" t="s">
        <v>873</v>
      </c>
      <c r="C37" s="7">
        <f t="shared" si="0"/>
        <v>56.499841546792226</v>
      </c>
      <c r="D37" s="7">
        <f t="shared" si="1"/>
        <v>104.10213662508095</v>
      </c>
      <c r="E37" s="7">
        <f t="shared" si="2"/>
        <v>1.842520859795072</v>
      </c>
      <c r="F37" s="3">
        <f t="shared" si="3"/>
        <v>5.833333333333333</v>
      </c>
      <c r="G37" s="7">
        <f>25.4/18</f>
        <v>1.411111111111111</v>
      </c>
      <c r="H37" s="70">
        <v>7.0339999999999998</v>
      </c>
      <c r="I37">
        <v>55</v>
      </c>
      <c r="J37">
        <f t="shared" si="4"/>
        <v>0.2</v>
      </c>
      <c r="K37">
        <f t="shared" si="5"/>
        <v>6.377048267563945E-2</v>
      </c>
      <c r="L37">
        <f t="shared" si="6"/>
        <v>0.2217678303245223</v>
      </c>
    </row>
    <row r="38" spans="1:12">
      <c r="A38" t="s">
        <v>905</v>
      </c>
      <c r="B38" t="s">
        <v>883</v>
      </c>
      <c r="C38" s="7">
        <f t="shared" si="0"/>
        <v>55.511889029115103</v>
      </c>
      <c r="D38" s="7">
        <f t="shared" si="1"/>
        <v>100.99326630106154</v>
      </c>
      <c r="E38" s="7">
        <f t="shared" si="2"/>
        <v>1.8193087655167377</v>
      </c>
      <c r="F38" s="3">
        <f t="shared" si="3"/>
        <v>5.833333333333333</v>
      </c>
      <c r="G38" s="7">
        <f>25.4/18</f>
        <v>1.411111111111111</v>
      </c>
      <c r="H38" s="70">
        <v>7.0209999999999999</v>
      </c>
      <c r="I38">
        <v>60</v>
      </c>
      <c r="J38">
        <f t="shared" si="4"/>
        <v>0.2</v>
      </c>
      <c r="K38">
        <f t="shared" si="5"/>
        <v>6.3888238596703478E-2</v>
      </c>
      <c r="L38">
        <f t="shared" si="6"/>
        <v>0.22696107904167076</v>
      </c>
    </row>
    <row r="39" spans="1:12">
      <c r="A39" t="s">
        <v>904</v>
      </c>
      <c r="B39" t="s">
        <v>864</v>
      </c>
      <c r="C39" s="7">
        <f t="shared" si="0"/>
        <v>69.428799187969361</v>
      </c>
      <c r="D39" s="7">
        <f t="shared" si="1"/>
        <v>140.47136875979521</v>
      </c>
      <c r="E39" s="7">
        <f t="shared" si="2"/>
        <v>2.0232435301017868</v>
      </c>
      <c r="F39" s="3">
        <f t="shared" si="3"/>
        <v>5.833333333333333</v>
      </c>
      <c r="G39" s="7">
        <f>25.4/20</f>
        <v>1.27</v>
      </c>
      <c r="H39" s="70">
        <v>5.5369999999999999</v>
      </c>
      <c r="I39">
        <v>55</v>
      </c>
      <c r="J39">
        <f t="shared" si="4"/>
        <v>0.2</v>
      </c>
      <c r="K39">
        <f t="shared" si="5"/>
        <v>7.2880182073564642E-2</v>
      </c>
      <c r="L39">
        <f t="shared" si="6"/>
        <v>0.2217678303245223</v>
      </c>
    </row>
    <row r="40" spans="1:12">
      <c r="A40" t="s">
        <v>905</v>
      </c>
      <c r="B40" t="s">
        <v>884</v>
      </c>
      <c r="C40" s="7">
        <f t="shared" si="0"/>
        <v>68.272151475808244</v>
      </c>
      <c r="D40" s="7">
        <f t="shared" si="1"/>
        <v>136.13756932078735</v>
      </c>
      <c r="E40" s="7">
        <f t="shared" si="2"/>
        <v>1.9940424664810328</v>
      </c>
      <c r="F40" s="3">
        <f t="shared" si="3"/>
        <v>5.833333333333333</v>
      </c>
      <c r="G40" s="7">
        <f>25.4/20</f>
        <v>1.27</v>
      </c>
      <c r="H40" s="70">
        <v>5.524</v>
      </c>
      <c r="I40">
        <v>60</v>
      </c>
      <c r="J40">
        <f t="shared" si="4"/>
        <v>0.2</v>
      </c>
      <c r="K40">
        <f t="shared" si="5"/>
        <v>7.305108707594947E-2</v>
      </c>
      <c r="L40">
        <f t="shared" si="6"/>
        <v>0.22696107904167076</v>
      </c>
    </row>
    <row r="41" spans="1:12">
      <c r="A41" t="s">
        <v>903</v>
      </c>
      <c r="B41" s="272" t="s">
        <v>860</v>
      </c>
      <c r="C41" s="275">
        <f t="shared" si="0"/>
        <v>74.051172163548969</v>
      </c>
      <c r="D41" s="275">
        <f t="shared" si="1"/>
        <v>128.94369920796933</v>
      </c>
      <c r="E41" s="275">
        <f t="shared" si="2"/>
        <v>1.7412783004053611</v>
      </c>
      <c r="F41" s="276">
        <f t="shared" si="3"/>
        <v>5.833333333333333</v>
      </c>
      <c r="G41" s="275">
        <v>1</v>
      </c>
      <c r="H41" s="277">
        <v>5.35</v>
      </c>
      <c r="I41" s="272">
        <v>60</v>
      </c>
      <c r="J41" s="272">
        <f t="shared" si="4"/>
        <v>0.2</v>
      </c>
      <c r="K41" s="272">
        <f t="shared" si="5"/>
        <v>5.9427118765771163E-2</v>
      </c>
      <c r="L41" s="272">
        <f t="shared" si="6"/>
        <v>0.22696107904167076</v>
      </c>
    </row>
    <row r="42" spans="1:12">
      <c r="A42" t="s">
        <v>903</v>
      </c>
      <c r="B42" s="272" t="s">
        <v>861</v>
      </c>
      <c r="C42" s="275">
        <f t="shared" si="0"/>
        <v>89.30334766291044</v>
      </c>
      <c r="D42" s="275">
        <f t="shared" si="1"/>
        <v>151.54310987956535</v>
      </c>
      <c r="E42" s="275">
        <f t="shared" si="2"/>
        <v>1.6969476939609107</v>
      </c>
      <c r="F42" s="276">
        <f t="shared" si="3"/>
        <v>5.833333333333333</v>
      </c>
      <c r="G42" s="275">
        <v>0.8</v>
      </c>
      <c r="H42" s="277">
        <v>4.4800000000000004</v>
      </c>
      <c r="I42" s="272">
        <v>60</v>
      </c>
      <c r="J42" s="272">
        <f t="shared" si="4"/>
        <v>0.2</v>
      </c>
      <c r="K42" s="272">
        <f t="shared" si="5"/>
        <v>5.6779953487158051E-2</v>
      </c>
      <c r="L42" s="272">
        <f t="shared" si="6"/>
        <v>0.22696107904167076</v>
      </c>
    </row>
    <row r="43" spans="1:12">
      <c r="A43" t="s">
        <v>904</v>
      </c>
      <c r="B43" t="s">
        <v>874</v>
      </c>
      <c r="C43" s="7">
        <f t="shared" si="0"/>
        <v>91.0190489059745</v>
      </c>
      <c r="D43" s="7">
        <f t="shared" si="1"/>
        <v>203.41906307164777</v>
      </c>
      <c r="E43" s="7">
        <f t="shared" si="2"/>
        <v>2.234906489539195</v>
      </c>
      <c r="F43" s="3">
        <f t="shared" si="3"/>
        <v>5.833333333333333</v>
      </c>
      <c r="G43" s="7">
        <f>25.4/24</f>
        <v>1.0583333333333333</v>
      </c>
      <c r="H43" s="70">
        <v>4.085</v>
      </c>
      <c r="I43">
        <v>55</v>
      </c>
      <c r="J43">
        <f t="shared" si="4"/>
        <v>0.2</v>
      </c>
      <c r="K43">
        <f t="shared" si="5"/>
        <v>8.2280876923926438E-2</v>
      </c>
      <c r="L43">
        <f t="shared" si="6"/>
        <v>0.2217678303245223</v>
      </c>
    </row>
    <row r="44" spans="1:12">
      <c r="A44" t="s">
        <v>903</v>
      </c>
      <c r="B44" s="272" t="s">
        <v>862</v>
      </c>
      <c r="C44" s="275">
        <f t="shared" si="0"/>
        <v>110.39197154140231</v>
      </c>
      <c r="D44" s="275">
        <f t="shared" si="1"/>
        <v>198.6355762916148</v>
      </c>
      <c r="E44" s="275">
        <f t="shared" si="2"/>
        <v>1.7993661451830931</v>
      </c>
      <c r="F44" s="276">
        <f t="shared" si="3"/>
        <v>5.833333333333333</v>
      </c>
      <c r="G44" s="275">
        <v>0.7</v>
      </c>
      <c r="H44" s="277">
        <v>3.5449999999999999</v>
      </c>
      <c r="I44" s="272">
        <v>60</v>
      </c>
      <c r="J44" s="272">
        <f t="shared" si="4"/>
        <v>0.2</v>
      </c>
      <c r="K44" s="272">
        <f t="shared" si="5"/>
        <v>6.2771281572053889E-2</v>
      </c>
      <c r="L44" s="272">
        <f t="shared" si="6"/>
        <v>0.22696107904167076</v>
      </c>
    </row>
    <row r="45" spans="1:12">
      <c r="A45" t="s">
        <v>904</v>
      </c>
      <c r="B45" t="s">
        <v>875</v>
      </c>
      <c r="C45" s="7">
        <f t="shared" si="0"/>
        <v>111.07718774868262</v>
      </c>
      <c r="D45" s="7">
        <f t="shared" si="1"/>
        <v>224.71778425197718</v>
      </c>
      <c r="E45" s="7">
        <f t="shared" si="2"/>
        <v>2.0230777246576657</v>
      </c>
      <c r="F45" s="3">
        <f t="shared" si="3"/>
        <v>5.833333333333333</v>
      </c>
      <c r="G45" s="7">
        <f>25.4/32</f>
        <v>0.79374999999999996</v>
      </c>
      <c r="H45" s="70">
        <v>3.4609999999999999</v>
      </c>
      <c r="I45">
        <v>55</v>
      </c>
      <c r="J45">
        <f t="shared" si="4"/>
        <v>0.2</v>
      </c>
      <c r="K45">
        <f t="shared" si="5"/>
        <v>7.2872313419845278E-2</v>
      </c>
      <c r="L45">
        <f t="shared" si="6"/>
        <v>0.2217678303245223</v>
      </c>
    </row>
    <row r="46" spans="1:12">
      <c r="A46" t="s">
        <v>904</v>
      </c>
      <c r="B46" t="s">
        <v>876</v>
      </c>
      <c r="C46" s="7">
        <f t="shared" si="0"/>
        <v>138.87612511522514</v>
      </c>
      <c r="D46" s="7">
        <f t="shared" si="1"/>
        <v>281.01861551837055</v>
      </c>
      <c r="E46" s="7">
        <f t="shared" si="2"/>
        <v>2.023519991540736</v>
      </c>
      <c r="F46" s="3">
        <f t="shared" si="3"/>
        <v>5.833333333333333</v>
      </c>
      <c r="G46" s="7">
        <f>25.4/40</f>
        <v>0.63500000000000001</v>
      </c>
      <c r="H46" s="70">
        <v>2.7679999999999998</v>
      </c>
      <c r="I46">
        <v>55</v>
      </c>
      <c r="J46">
        <f t="shared" si="4"/>
        <v>0.2</v>
      </c>
      <c r="K46">
        <f t="shared" si="5"/>
        <v>7.2893300266625147E-2</v>
      </c>
      <c r="L46">
        <f t="shared" si="6"/>
        <v>0.2217678303245223</v>
      </c>
    </row>
    <row r="47" spans="1:12">
      <c r="A47" t="s">
        <v>903</v>
      </c>
      <c r="B47" s="272" t="s">
        <v>863</v>
      </c>
      <c r="C47" s="275">
        <f t="shared" si="0"/>
        <v>148.10234432709794</v>
      </c>
      <c r="D47" s="275">
        <f t="shared" si="1"/>
        <v>257.88739841593866</v>
      </c>
      <c r="E47" s="275">
        <f t="shared" si="2"/>
        <v>1.7412783004053611</v>
      </c>
      <c r="F47" s="276">
        <f t="shared" si="3"/>
        <v>5.833333333333333</v>
      </c>
      <c r="G47" s="275">
        <v>0.5</v>
      </c>
      <c r="H47" s="277">
        <v>2.6749999999999998</v>
      </c>
      <c r="I47" s="272">
        <v>60</v>
      </c>
      <c r="J47" s="272">
        <f t="shared" si="4"/>
        <v>0.2</v>
      </c>
      <c r="K47" s="272">
        <f t="shared" si="5"/>
        <v>5.9427118765771163E-2</v>
      </c>
      <c r="L47" s="272">
        <f t="shared" si="6"/>
        <v>0.22696107904167076</v>
      </c>
    </row>
  </sheetData>
  <autoFilter ref="A1:L48" xr:uid="{DD2302FF-8861-4A1D-9648-F3A7DDF00DCE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5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I72" sqref="I72"/>
    </sheetView>
  </sheetViews>
  <sheetFormatPr defaultColWidth="12.69921875" defaultRowHeight="14.4"/>
  <cols>
    <col min="1" max="1" width="18.796875" bestFit="1" customWidth="1"/>
    <col min="2" max="2" width="12.796875" style="1"/>
    <col min="4" max="4" width="12.796875" style="3"/>
    <col min="6" max="6" width="12.796875"/>
    <col min="8" max="8" width="6.5" style="70" bestFit="1" customWidth="1"/>
    <col min="9" max="9" width="8.5" bestFit="1" customWidth="1"/>
    <col min="10" max="10" width="6.5" style="1" bestFit="1" customWidth="1"/>
    <col min="11" max="11" width="9.5" style="1" bestFit="1" customWidth="1"/>
    <col min="12" max="12" width="8.296875" style="34" bestFit="1" customWidth="1"/>
    <col min="13" max="13" width="6.5" style="1" bestFit="1" customWidth="1"/>
    <col min="14" max="14" width="7.5" style="6" bestFit="1" customWidth="1"/>
    <col min="15" max="15" width="6.5" style="1" bestFit="1" customWidth="1"/>
    <col min="16" max="16" width="9.5" style="1" bestFit="1" customWidth="1"/>
    <col min="17" max="17" width="8.296875" style="34" bestFit="1" customWidth="1"/>
    <col min="18" max="20" width="6.5" style="1" bestFit="1" customWidth="1"/>
    <col min="21" max="21" width="12.796875" style="6"/>
    <col min="22" max="22" width="12.796875" style="3"/>
    <col min="23" max="23" width="8.19921875" style="8" bestFit="1" customWidth="1"/>
    <col min="24" max="24" width="12.796875" style="8"/>
  </cols>
  <sheetData>
    <row r="1" spans="1:6">
      <c r="A1" t="s">
        <v>0</v>
      </c>
    </row>
    <row r="2" spans="1:6">
      <c r="A2" t="s">
        <v>1</v>
      </c>
      <c r="B2" s="1" t="s">
        <v>2</v>
      </c>
      <c r="C2" t="s">
        <v>3</v>
      </c>
      <c r="D2" s="4" t="s">
        <v>8</v>
      </c>
      <c r="E2" s="5" t="s">
        <v>9</v>
      </c>
      <c r="F2" s="5"/>
    </row>
    <row r="3" spans="1:6">
      <c r="A3">
        <v>200</v>
      </c>
      <c r="B3" s="1">
        <v>42</v>
      </c>
      <c r="C3">
        <f>60000/B3</f>
        <v>1428.5714285714287</v>
      </c>
      <c r="D3" s="3">
        <f>A3*B3</f>
        <v>8400</v>
      </c>
      <c r="E3">
        <f>C3*1500/A3</f>
        <v>10714.285714285716</v>
      </c>
      <c r="F3">
        <f t="shared" ref="F3:F6" si="0">E3/1.5</f>
        <v>7142.857142857144</v>
      </c>
    </row>
    <row r="4" spans="1:6">
      <c r="A4">
        <v>300</v>
      </c>
      <c r="B4" s="1">
        <f>55.8/2</f>
        <v>27.9</v>
      </c>
      <c r="C4">
        <f>60000/B4</f>
        <v>2150.5376344086021</v>
      </c>
      <c r="D4" s="3">
        <f>A4*B4</f>
        <v>8370</v>
      </c>
      <c r="E4">
        <f>C4*1500/A4</f>
        <v>10752.68817204301</v>
      </c>
      <c r="F4">
        <f t="shared" si="0"/>
        <v>7168.4587813620064</v>
      </c>
    </row>
    <row r="5" spans="1:6">
      <c r="A5">
        <v>400</v>
      </c>
      <c r="B5" s="1">
        <f>42.2/2</f>
        <v>21.1</v>
      </c>
      <c r="C5">
        <f>60000/B5</f>
        <v>2843.6018957345968</v>
      </c>
      <c r="D5" s="3">
        <f>A5*B5</f>
        <v>8440</v>
      </c>
      <c r="E5">
        <f>C5*1500/A5</f>
        <v>10663.507109004739</v>
      </c>
      <c r="F5">
        <f t="shared" si="0"/>
        <v>7109.0047393364921</v>
      </c>
    </row>
    <row r="6" spans="1:6">
      <c r="A6">
        <v>500</v>
      </c>
      <c r="B6" s="1">
        <f>51.2/3</f>
        <v>17.066666666666666</v>
      </c>
      <c r="C6">
        <f>60000/B6</f>
        <v>3515.625</v>
      </c>
      <c r="D6" s="3">
        <f>A6*B6</f>
        <v>8533.3333333333339</v>
      </c>
      <c r="E6">
        <f>C6*1500/A6</f>
        <v>10546.875</v>
      </c>
      <c r="F6">
        <f t="shared" si="0"/>
        <v>7031.25</v>
      </c>
    </row>
    <row r="7" spans="1:6">
      <c r="A7">
        <v>600</v>
      </c>
      <c r="B7" s="1">
        <f>56.8/4</f>
        <v>14.2</v>
      </c>
      <c r="C7">
        <f>60000/B7</f>
        <v>4225.352112676057</v>
      </c>
      <c r="D7" s="3">
        <f>A7*B7</f>
        <v>8520</v>
      </c>
      <c r="E7">
        <f>C7*1500/A7</f>
        <v>10563.380281690143</v>
      </c>
      <c r="F7">
        <f t="shared" ref="F7:F8" si="1">E7/1.5</f>
        <v>7042.2535211267614</v>
      </c>
    </row>
    <row r="8" spans="1:6">
      <c r="E8">
        <f>AVERAGE(E3:E7)</f>
        <v>10648.147255404721</v>
      </c>
      <c r="F8">
        <f t="shared" si="1"/>
        <v>7098.7648369364806</v>
      </c>
    </row>
    <row r="9" spans="1:6">
      <c r="A9" t="s">
        <v>4</v>
      </c>
    </row>
    <row r="10" spans="1:6">
      <c r="A10" t="s">
        <v>1</v>
      </c>
      <c r="B10" s="1" t="s">
        <v>2</v>
      </c>
      <c r="C10" t="s">
        <v>3</v>
      </c>
      <c r="E10" s="5" t="s">
        <v>9</v>
      </c>
      <c r="F10" s="5"/>
    </row>
    <row r="11" spans="1:6">
      <c r="A11">
        <v>200</v>
      </c>
      <c r="B11" s="1">
        <f>51/2</f>
        <v>25.5</v>
      </c>
      <c r="C11">
        <f>60000/B11</f>
        <v>2352.9411764705883</v>
      </c>
      <c r="D11" s="3">
        <f>A11*B11</f>
        <v>5100</v>
      </c>
      <c r="E11" s="2">
        <f>C11*1500/A11</f>
        <v>17647.058823529413</v>
      </c>
      <c r="F11">
        <f t="shared" ref="F11:F13" si="2">E11/1.5</f>
        <v>11764.705882352942</v>
      </c>
    </row>
    <row r="12" spans="1:6">
      <c r="A12">
        <v>300</v>
      </c>
      <c r="B12" s="1">
        <f>51.8/3</f>
        <v>17.266666666666666</v>
      </c>
      <c r="C12">
        <f>60000/B12</f>
        <v>3474.9034749034749</v>
      </c>
      <c r="D12" s="3">
        <f>A12*B12</f>
        <v>5180</v>
      </c>
      <c r="E12" s="2">
        <f>C12*1500/A12</f>
        <v>17374.517374517374</v>
      </c>
      <c r="F12">
        <f t="shared" si="2"/>
        <v>11583.011583011583</v>
      </c>
    </row>
    <row r="13" spans="1:6">
      <c r="A13">
        <v>400</v>
      </c>
      <c r="B13" s="1">
        <f>52.8/4</f>
        <v>13.2</v>
      </c>
      <c r="C13">
        <f>60000/B13</f>
        <v>4545.454545454546</v>
      </c>
      <c r="D13" s="3">
        <f>A13*B13</f>
        <v>5280</v>
      </c>
      <c r="E13" s="2">
        <f>C13*1500/A13</f>
        <v>17045.454545454548</v>
      </c>
      <c r="F13">
        <f t="shared" si="2"/>
        <v>11363.636363636366</v>
      </c>
    </row>
    <row r="14" spans="1:6">
      <c r="A14">
        <v>500</v>
      </c>
      <c r="B14" s="1">
        <f>52.2/5</f>
        <v>10.440000000000001</v>
      </c>
      <c r="C14">
        <f>60000/B14</f>
        <v>5747.1264367816084</v>
      </c>
      <c r="D14" s="3">
        <f>A14*B14</f>
        <v>5220.0000000000009</v>
      </c>
      <c r="E14" s="2">
        <f>C14*1500/A14</f>
        <v>17241.379310344826</v>
      </c>
      <c r="F14">
        <f t="shared" ref="F14:F15" si="3">E14/1.5</f>
        <v>11494.252873563217</v>
      </c>
    </row>
    <row r="15" spans="1:6">
      <c r="E15" s="2">
        <f>AVERAGE(E11:E14)</f>
        <v>17327.102513461541</v>
      </c>
      <c r="F15">
        <f t="shared" si="3"/>
        <v>11551.401675641027</v>
      </c>
    </row>
    <row r="16" spans="1:6">
      <c r="A16" t="s">
        <v>5</v>
      </c>
    </row>
    <row r="17" spans="1:6">
      <c r="A17" t="s">
        <v>1</v>
      </c>
      <c r="B17" s="1" t="s">
        <v>2</v>
      </c>
      <c r="C17" t="s">
        <v>3</v>
      </c>
      <c r="E17" s="5" t="s">
        <v>9</v>
      </c>
      <c r="F17" s="5"/>
    </row>
    <row r="18" spans="1:6">
      <c r="E18" s="5"/>
      <c r="F18" s="5"/>
    </row>
    <row r="19" spans="1:6">
      <c r="A19">
        <v>200</v>
      </c>
      <c r="B19" s="1">
        <f>50.6*6/5</f>
        <v>60.720000000000006</v>
      </c>
      <c r="C19">
        <f t="shared" ref="C19:C25" si="4">60000/B19</f>
        <v>988.14229249011851</v>
      </c>
      <c r="D19" s="3">
        <f t="shared" ref="D19:D25" si="5">A19*B19</f>
        <v>12144.000000000002</v>
      </c>
      <c r="E19">
        <f t="shared" ref="E19:E25" si="6">C19*1500/A19</f>
        <v>7411.067193675889</v>
      </c>
      <c r="F19">
        <f t="shared" ref="F19:F25" si="7">E19/1.5</f>
        <v>4940.711462450593</v>
      </c>
    </row>
    <row r="20" spans="1:6">
      <c r="A20">
        <v>300</v>
      </c>
      <c r="B20" s="1">
        <f>41</f>
        <v>41</v>
      </c>
      <c r="C20">
        <f t="shared" si="4"/>
        <v>1463.4146341463415</v>
      </c>
      <c r="D20" s="3">
        <f t="shared" si="5"/>
        <v>12300</v>
      </c>
      <c r="E20">
        <f t="shared" si="6"/>
        <v>7317.0731707317073</v>
      </c>
      <c r="F20">
        <f t="shared" si="7"/>
        <v>4878.0487804878048</v>
      </c>
    </row>
    <row r="21" spans="1:6">
      <c r="A21">
        <v>400</v>
      </c>
      <c r="B21" s="1">
        <f>30.8</f>
        <v>30.8</v>
      </c>
      <c r="C21">
        <f t="shared" si="4"/>
        <v>1948.0519480519481</v>
      </c>
      <c r="D21" s="3">
        <f t="shared" si="5"/>
        <v>12320</v>
      </c>
      <c r="E21">
        <f t="shared" si="6"/>
        <v>7305.1948051948057</v>
      </c>
      <c r="F21">
        <f t="shared" si="7"/>
        <v>4870.1298701298701</v>
      </c>
    </row>
    <row r="22" spans="1:6">
      <c r="A22">
        <v>500</v>
      </c>
      <c r="B22" s="1">
        <f>49.2/2</f>
        <v>24.6</v>
      </c>
      <c r="C22">
        <f t="shared" si="4"/>
        <v>2439.0243902439024</v>
      </c>
      <c r="D22" s="3">
        <f t="shared" si="5"/>
        <v>12300</v>
      </c>
      <c r="E22">
        <f t="shared" si="6"/>
        <v>7317.0731707317073</v>
      </c>
      <c r="F22">
        <f t="shared" si="7"/>
        <v>4878.0487804878048</v>
      </c>
    </row>
    <row r="23" spans="1:6">
      <c r="A23">
        <v>600</v>
      </c>
      <c r="B23" s="1">
        <f>41.6/2</f>
        <v>20.8</v>
      </c>
      <c r="C23">
        <f t="shared" si="4"/>
        <v>2884.6153846153843</v>
      </c>
      <c r="D23" s="3">
        <f t="shared" si="5"/>
        <v>12480</v>
      </c>
      <c r="E23">
        <f t="shared" si="6"/>
        <v>7211.5384615384601</v>
      </c>
      <c r="F23">
        <f t="shared" si="7"/>
        <v>4807.6923076923067</v>
      </c>
    </row>
    <row r="24" spans="1:6">
      <c r="A24">
        <v>708</v>
      </c>
      <c r="B24" s="1">
        <f>52.8/3</f>
        <v>17.599999999999998</v>
      </c>
      <c r="C24">
        <f t="shared" si="4"/>
        <v>3409.0909090909095</v>
      </c>
      <c r="D24" s="3">
        <f t="shared" si="5"/>
        <v>12460.8</v>
      </c>
      <c r="E24">
        <f t="shared" si="6"/>
        <v>7222.6502311248087</v>
      </c>
      <c r="F24">
        <f t="shared" si="7"/>
        <v>4815.1001540832058</v>
      </c>
    </row>
    <row r="25" spans="1:6">
      <c r="A25">
        <v>802.4</v>
      </c>
      <c r="B25" s="1">
        <f>46.8/3</f>
        <v>15.6</v>
      </c>
      <c r="C25">
        <f t="shared" si="4"/>
        <v>3846.1538461538462</v>
      </c>
      <c r="D25" s="3">
        <f t="shared" si="5"/>
        <v>12517.439999999999</v>
      </c>
      <c r="E25">
        <f t="shared" si="6"/>
        <v>7189.9685558708488</v>
      </c>
      <c r="F25">
        <f t="shared" si="7"/>
        <v>4793.3123705805656</v>
      </c>
    </row>
    <row r="26" spans="1:6">
      <c r="E26">
        <f>AVERAGE(E19:E25)</f>
        <v>7282.0807984097473</v>
      </c>
      <c r="F26">
        <f t="shared" ref="F26" si="8">E26/1.5</f>
        <v>4854.7205322731652</v>
      </c>
    </row>
    <row r="27" spans="1:6">
      <c r="A27" t="s">
        <v>6</v>
      </c>
    </row>
    <row r="28" spans="1:6">
      <c r="A28" t="s">
        <v>1</v>
      </c>
      <c r="B28" s="1" t="s">
        <v>2</v>
      </c>
      <c r="C28" t="s">
        <v>3</v>
      </c>
      <c r="E28" s="5" t="s">
        <v>9</v>
      </c>
      <c r="F28" s="5"/>
    </row>
    <row r="29" spans="1:6">
      <c r="A29">
        <v>200</v>
      </c>
      <c r="B29" s="1">
        <f>40.4</f>
        <v>40.4</v>
      </c>
      <c r="C29">
        <f t="shared" ref="C29:C35" si="9">60000/B29</f>
        <v>1485.1485148514853</v>
      </c>
      <c r="D29" s="3">
        <f t="shared" ref="D29:D35" si="10">A29*B29</f>
        <v>8080</v>
      </c>
      <c r="E29">
        <f t="shared" ref="E29:E35" si="11">C29*1500/A29</f>
        <v>11138.61386138614</v>
      </c>
      <c r="F29">
        <f t="shared" ref="F29:F34" si="12">E29/1.5</f>
        <v>7425.7425742574269</v>
      </c>
    </row>
    <row r="30" spans="1:6">
      <c r="A30">
        <v>300</v>
      </c>
      <c r="B30" s="1">
        <f>54/2</f>
        <v>27</v>
      </c>
      <c r="C30">
        <f t="shared" si="9"/>
        <v>2222.2222222222222</v>
      </c>
      <c r="D30" s="3">
        <f t="shared" si="10"/>
        <v>8100</v>
      </c>
      <c r="E30">
        <f t="shared" si="11"/>
        <v>11111.111111111111</v>
      </c>
      <c r="F30">
        <f t="shared" si="12"/>
        <v>7407.4074074074078</v>
      </c>
    </row>
    <row r="31" spans="1:6">
      <c r="A31">
        <v>400</v>
      </c>
      <c r="B31" s="1">
        <f>41.4/2</f>
        <v>20.7</v>
      </c>
      <c r="C31">
        <f t="shared" si="9"/>
        <v>2898.5507246376815</v>
      </c>
      <c r="D31" s="3">
        <f t="shared" si="10"/>
        <v>8280</v>
      </c>
      <c r="E31">
        <f t="shared" si="11"/>
        <v>10869.565217391306</v>
      </c>
      <c r="F31">
        <f t="shared" si="12"/>
        <v>7246.3768115942039</v>
      </c>
    </row>
    <row r="32" spans="1:6">
      <c r="A32">
        <v>500</v>
      </c>
      <c r="B32" s="1">
        <f>49.4/3</f>
        <v>16.466666666666665</v>
      </c>
      <c r="C32">
        <f t="shared" si="9"/>
        <v>3643.7246963562757</v>
      </c>
      <c r="D32" s="3">
        <f t="shared" si="10"/>
        <v>8233.3333333333321</v>
      </c>
      <c r="E32">
        <f t="shared" si="11"/>
        <v>10931.174089068827</v>
      </c>
      <c r="F32">
        <f t="shared" si="12"/>
        <v>7287.4493927125513</v>
      </c>
    </row>
    <row r="33" spans="1:6">
      <c r="A33">
        <v>600</v>
      </c>
      <c r="B33" s="1">
        <f>55.2/4</f>
        <v>13.8</v>
      </c>
      <c r="C33">
        <f t="shared" si="9"/>
        <v>4347.8260869565211</v>
      </c>
      <c r="D33" s="3">
        <f t="shared" si="10"/>
        <v>8280</v>
      </c>
      <c r="E33">
        <f t="shared" si="11"/>
        <v>10869.565217391302</v>
      </c>
      <c r="F33">
        <f t="shared" si="12"/>
        <v>7246.3768115942012</v>
      </c>
    </row>
    <row r="34" spans="1:6">
      <c r="A34">
        <v>700</v>
      </c>
      <c r="B34" s="1">
        <f>47/4</f>
        <v>11.75</v>
      </c>
      <c r="C34">
        <f t="shared" si="9"/>
        <v>5106.3829787234044</v>
      </c>
      <c r="D34" s="3">
        <f t="shared" si="10"/>
        <v>8225</v>
      </c>
      <c r="E34">
        <f t="shared" si="11"/>
        <v>10942.24924012158</v>
      </c>
      <c r="F34">
        <f t="shared" si="12"/>
        <v>7294.83282674772</v>
      </c>
    </row>
    <row r="35" spans="1:6">
      <c r="A35">
        <v>800</v>
      </c>
      <c r="B35" s="1">
        <f>51/5</f>
        <v>10.199999999999999</v>
      </c>
      <c r="C35">
        <f t="shared" si="9"/>
        <v>5882.3529411764712</v>
      </c>
      <c r="D35" s="3">
        <f t="shared" si="10"/>
        <v>8159.9999999999991</v>
      </c>
      <c r="E35">
        <f t="shared" si="11"/>
        <v>11029.411764705885</v>
      </c>
      <c r="F35">
        <f t="shared" ref="F35:F36" si="13">E35/1.5</f>
        <v>7352.9411764705901</v>
      </c>
    </row>
    <row r="36" spans="1:6">
      <c r="E36">
        <f>AVERAGE(E29:E35)</f>
        <v>10984.527214453736</v>
      </c>
      <c r="F36">
        <f t="shared" si="13"/>
        <v>7323.0181429691575</v>
      </c>
    </row>
    <row r="37" spans="1:6">
      <c r="A37" t="s">
        <v>7</v>
      </c>
    </row>
    <row r="38" spans="1:6">
      <c r="A38" t="s">
        <v>1</v>
      </c>
      <c r="B38" s="1" t="s">
        <v>2</v>
      </c>
      <c r="C38" t="s">
        <v>3</v>
      </c>
      <c r="E38" s="5" t="s">
        <v>9</v>
      </c>
      <c r="F38" s="5"/>
    </row>
    <row r="39" spans="1:6">
      <c r="A39">
        <v>200</v>
      </c>
      <c r="B39" s="1">
        <f>49.8*6/5</f>
        <v>59.759999999999991</v>
      </c>
      <c r="C39" s="2">
        <f t="shared" ref="C39:C45" si="14">60000/B39</f>
        <v>1004.0160642570282</v>
      </c>
      <c r="D39" s="3">
        <f t="shared" ref="D39:D45" si="15">A39*B39</f>
        <v>11951.999999999998</v>
      </c>
      <c r="E39">
        <f t="shared" ref="E39:E45" si="16">C39*1500/A39</f>
        <v>7530.1204819277118</v>
      </c>
      <c r="F39">
        <f t="shared" ref="F39:F44" si="17">E39/1.5</f>
        <v>5020.0803212851415</v>
      </c>
    </row>
    <row r="40" spans="1:6">
      <c r="A40">
        <v>300</v>
      </c>
      <c r="B40" s="1">
        <f>40.2</f>
        <v>40.200000000000003</v>
      </c>
      <c r="C40" s="2">
        <f t="shared" si="14"/>
        <v>1492.5373134328356</v>
      </c>
      <c r="D40" s="3">
        <f t="shared" si="15"/>
        <v>12060</v>
      </c>
      <c r="E40">
        <f t="shared" si="16"/>
        <v>7462.6865671641781</v>
      </c>
      <c r="F40">
        <f t="shared" si="17"/>
        <v>4975.1243781094518</v>
      </c>
    </row>
    <row r="41" spans="1:6">
      <c r="A41">
        <v>400</v>
      </c>
      <c r="B41" s="1">
        <f>30.6</f>
        <v>30.6</v>
      </c>
      <c r="C41" s="2">
        <f t="shared" si="14"/>
        <v>1960.7843137254902</v>
      </c>
      <c r="D41" s="3">
        <f t="shared" si="15"/>
        <v>12240</v>
      </c>
      <c r="E41">
        <f t="shared" si="16"/>
        <v>7352.9411764705883</v>
      </c>
      <c r="F41">
        <f t="shared" si="17"/>
        <v>4901.9607843137255</v>
      </c>
    </row>
    <row r="42" spans="1:6">
      <c r="A42">
        <v>500</v>
      </c>
      <c r="B42" s="1">
        <f>49.6/2</f>
        <v>24.8</v>
      </c>
      <c r="C42" s="2">
        <f t="shared" si="14"/>
        <v>2419.3548387096776</v>
      </c>
      <c r="D42" s="3">
        <f t="shared" si="15"/>
        <v>12400</v>
      </c>
      <c r="E42">
        <f t="shared" si="16"/>
        <v>7258.0645161290331</v>
      </c>
      <c r="F42">
        <f t="shared" si="17"/>
        <v>4838.7096774193551</v>
      </c>
    </row>
    <row r="43" spans="1:6">
      <c r="A43">
        <v>600</v>
      </c>
      <c r="B43" s="1">
        <f>41.2/2</f>
        <v>20.6</v>
      </c>
      <c r="C43" s="2">
        <f t="shared" si="14"/>
        <v>2912.6213592233007</v>
      </c>
      <c r="D43" s="3">
        <f t="shared" si="15"/>
        <v>12360</v>
      </c>
      <c r="E43">
        <f t="shared" si="16"/>
        <v>7281.5533980582513</v>
      </c>
      <c r="F43">
        <f t="shared" si="17"/>
        <v>4854.3689320388339</v>
      </c>
    </row>
    <row r="44" spans="1:6">
      <c r="A44">
        <v>700</v>
      </c>
      <c r="B44" s="1">
        <f>52.4/3</f>
        <v>17.466666666666665</v>
      </c>
      <c r="C44" s="2">
        <f t="shared" si="14"/>
        <v>3435.1145038167942</v>
      </c>
      <c r="D44" s="3">
        <f t="shared" si="15"/>
        <v>12226.666666666666</v>
      </c>
      <c r="E44">
        <f t="shared" si="16"/>
        <v>7360.959651035987</v>
      </c>
      <c r="F44">
        <f t="shared" si="17"/>
        <v>4907.3064340239916</v>
      </c>
    </row>
    <row r="45" spans="1:6">
      <c r="A45">
        <v>800</v>
      </c>
      <c r="B45" s="1">
        <f>45.6/3</f>
        <v>15.200000000000001</v>
      </c>
      <c r="C45" s="2">
        <f t="shared" si="14"/>
        <v>3947.3684210526312</v>
      </c>
      <c r="D45" s="3">
        <f t="shared" si="15"/>
        <v>12160</v>
      </c>
      <c r="E45">
        <f t="shared" si="16"/>
        <v>7401.3157894736833</v>
      </c>
      <c r="F45">
        <f t="shared" ref="F45:F46" si="18">E45/1.5</f>
        <v>4934.2105263157891</v>
      </c>
    </row>
    <row r="46" spans="1:6">
      <c r="E46">
        <f>AVERAGE(E39:E45)</f>
        <v>7378.2345114656327</v>
      </c>
      <c r="F46">
        <f t="shared" si="18"/>
        <v>4918.8230076437549</v>
      </c>
    </row>
    <row r="47" spans="1:6">
      <c r="A47" t="s">
        <v>393</v>
      </c>
      <c r="B47" s="1" t="s">
        <v>395</v>
      </c>
      <c r="C47" t="s">
        <v>397</v>
      </c>
    </row>
    <row r="48" spans="1:6">
      <c r="A48" t="s">
        <v>1</v>
      </c>
      <c r="B48" s="1" t="s">
        <v>2</v>
      </c>
      <c r="C48" t="s">
        <v>3</v>
      </c>
      <c r="E48" s="5" t="s">
        <v>9</v>
      </c>
      <c r="F48" s="5"/>
    </row>
    <row r="49" spans="1:6">
      <c r="A49">
        <v>400</v>
      </c>
      <c r="B49" s="1">
        <f>49.8</f>
        <v>49.8</v>
      </c>
      <c r="C49">
        <f t="shared" ref="C49:C55" si="19">60000/B49</f>
        <v>1204.8192771084339</v>
      </c>
      <c r="D49" s="3">
        <f t="shared" ref="D49:D55" si="20">A49*B49</f>
        <v>19920</v>
      </c>
      <c r="E49">
        <f t="shared" ref="E49:E55" si="21">C49*1500/A49</f>
        <v>4518.0722891566265</v>
      </c>
      <c r="F49">
        <f t="shared" ref="F49:F54" si="22">E49/1.5</f>
        <v>3012.0481927710844</v>
      </c>
    </row>
    <row r="50" spans="1:6">
      <c r="A50">
        <v>608</v>
      </c>
      <c r="B50" s="1">
        <f>33</f>
        <v>33</v>
      </c>
      <c r="C50">
        <f t="shared" si="19"/>
        <v>1818.1818181818182</v>
      </c>
      <c r="D50" s="3">
        <f t="shared" si="20"/>
        <v>20064</v>
      </c>
      <c r="E50">
        <f t="shared" si="21"/>
        <v>4485.6459330143543</v>
      </c>
      <c r="F50">
        <f t="shared" si="22"/>
        <v>2990.4306220095696</v>
      </c>
    </row>
    <row r="51" spans="1:6">
      <c r="A51">
        <v>800</v>
      </c>
      <c r="B51" s="1">
        <f>50.6/2</f>
        <v>25.3</v>
      </c>
      <c r="C51">
        <f t="shared" si="19"/>
        <v>2371.5415019762845</v>
      </c>
      <c r="D51" s="3">
        <f t="shared" si="20"/>
        <v>20240</v>
      </c>
      <c r="E51">
        <f t="shared" si="21"/>
        <v>4446.6403162055331</v>
      </c>
      <c r="F51">
        <f t="shared" si="22"/>
        <v>2964.4268774703555</v>
      </c>
    </row>
    <row r="52" spans="1:6">
      <c r="A52">
        <v>1000</v>
      </c>
      <c r="B52" s="1">
        <f>40.6/2</f>
        <v>20.3</v>
      </c>
      <c r="C52">
        <f t="shared" si="19"/>
        <v>2955.6650246305417</v>
      </c>
      <c r="D52" s="3">
        <f t="shared" si="20"/>
        <v>20300</v>
      </c>
      <c r="E52">
        <f t="shared" si="21"/>
        <v>4433.4975369458125</v>
      </c>
      <c r="F52">
        <f t="shared" si="22"/>
        <v>2955.6650246305417</v>
      </c>
    </row>
    <row r="53" spans="1:6">
      <c r="A53">
        <v>1216</v>
      </c>
      <c r="B53" s="1">
        <f>49.8/3</f>
        <v>16.599999999999998</v>
      </c>
      <c r="C53">
        <f t="shared" si="19"/>
        <v>3614.4578313253019</v>
      </c>
      <c r="D53" s="3">
        <f t="shared" si="20"/>
        <v>20185.599999999999</v>
      </c>
      <c r="E53">
        <f t="shared" si="21"/>
        <v>4458.6239695624608</v>
      </c>
      <c r="F53">
        <f t="shared" si="22"/>
        <v>2972.4159797083071</v>
      </c>
    </row>
    <row r="54" spans="1:6">
      <c r="A54">
        <v>1392</v>
      </c>
      <c r="B54" s="1">
        <f>43.6/3</f>
        <v>14.533333333333333</v>
      </c>
      <c r="C54">
        <f t="shared" si="19"/>
        <v>4128.440366972477</v>
      </c>
      <c r="D54" s="3">
        <f t="shared" si="20"/>
        <v>20230.400000000001</v>
      </c>
      <c r="E54">
        <f t="shared" si="21"/>
        <v>4448.7503954444792</v>
      </c>
      <c r="F54">
        <f t="shared" si="22"/>
        <v>2965.8335969629861</v>
      </c>
    </row>
    <row r="55" spans="1:6">
      <c r="A55">
        <v>1600</v>
      </c>
      <c r="B55" s="1">
        <f>50.6/4</f>
        <v>12.65</v>
      </c>
      <c r="C55">
        <f t="shared" si="19"/>
        <v>4743.083003952569</v>
      </c>
      <c r="D55" s="3">
        <f t="shared" si="20"/>
        <v>20240</v>
      </c>
      <c r="E55">
        <f t="shared" si="21"/>
        <v>4446.6403162055331</v>
      </c>
      <c r="F55">
        <f>E55/1.5</f>
        <v>2964.4268774703555</v>
      </c>
    </row>
    <row r="56" spans="1:6">
      <c r="E56">
        <f>AVERAGE(E49:E55)</f>
        <v>4462.5529652192572</v>
      </c>
      <c r="F56">
        <f>E56/1.5</f>
        <v>2975.0353101461715</v>
      </c>
    </row>
    <row r="57" spans="1:6">
      <c r="A57" t="s">
        <v>392</v>
      </c>
      <c r="B57" s="1" t="s">
        <v>395</v>
      </c>
      <c r="C57" t="s">
        <v>396</v>
      </c>
    </row>
    <row r="58" spans="1:6">
      <c r="A58">
        <v>590</v>
      </c>
      <c r="B58" s="1">
        <v>28</v>
      </c>
      <c r="C58">
        <f t="shared" ref="C58" si="23">60000/B58</f>
        <v>2142.8571428571427</v>
      </c>
      <c r="D58" s="3">
        <f t="shared" ref="D58" si="24">A58*B58</f>
        <v>16520</v>
      </c>
      <c r="E58">
        <f t="shared" ref="E58" si="25">C58*1500/A58</f>
        <v>5447.9418886198546</v>
      </c>
      <c r="F58">
        <f>E58/1.5</f>
        <v>3631.9612590799029</v>
      </c>
    </row>
    <row r="59" spans="1:6">
      <c r="A59">
        <v>1350</v>
      </c>
      <c r="B59" s="1">
        <v>12</v>
      </c>
      <c r="C59">
        <f t="shared" ref="C59:C60" si="26">60000/B59</f>
        <v>5000</v>
      </c>
      <c r="D59" s="3">
        <f t="shared" ref="D59:D60" si="27">A59*B59</f>
        <v>16200</v>
      </c>
      <c r="E59">
        <f t="shared" ref="E59:E60" si="28">C59*1500/A59</f>
        <v>5555.5555555555557</v>
      </c>
      <c r="F59">
        <f>E59/1.5</f>
        <v>3703.7037037037039</v>
      </c>
    </row>
    <row r="60" spans="1:6">
      <c r="A60">
        <v>2040</v>
      </c>
      <c r="B60" s="1">
        <v>8</v>
      </c>
      <c r="C60">
        <f t="shared" si="26"/>
        <v>7500</v>
      </c>
      <c r="D60" s="3">
        <f t="shared" si="27"/>
        <v>16320</v>
      </c>
      <c r="E60">
        <f t="shared" si="28"/>
        <v>5514.7058823529414</v>
      </c>
      <c r="F60">
        <f>E60/1.5</f>
        <v>3676.4705882352941</v>
      </c>
    </row>
    <row r="61" spans="1:6">
      <c r="E61">
        <f>AVERAGE(E58:E60)</f>
        <v>5506.0677755094503</v>
      </c>
      <c r="F61">
        <f>E61/1.5</f>
        <v>3670.7118503396337</v>
      </c>
    </row>
    <row r="63" spans="1:6">
      <c r="A63" t="s">
        <v>26</v>
      </c>
    </row>
    <row r="64" spans="1:6">
      <c r="A64">
        <v>400</v>
      </c>
      <c r="B64" s="1">
        <v>82</v>
      </c>
      <c r="C64">
        <f t="shared" ref="C64:C67" si="29">60000/B64</f>
        <v>731.70731707317077</v>
      </c>
      <c r="D64" s="3">
        <f t="shared" ref="D64:D67" si="30">A64*B64</f>
        <v>32800</v>
      </c>
      <c r="E64">
        <f t="shared" ref="E64:E67" si="31">C64*1500/A64</f>
        <v>2743.9024390243903</v>
      </c>
      <c r="F64">
        <f t="shared" ref="F64:F66" si="32">E64/1.5</f>
        <v>1829.2682926829268</v>
      </c>
    </row>
    <row r="65" spans="1:6">
      <c r="A65">
        <v>600</v>
      </c>
      <c r="B65" s="1">
        <v>55</v>
      </c>
      <c r="C65">
        <f t="shared" si="29"/>
        <v>1090.909090909091</v>
      </c>
      <c r="D65" s="3">
        <f t="shared" si="30"/>
        <v>33000</v>
      </c>
      <c r="E65">
        <f t="shared" si="31"/>
        <v>2727.2727272727275</v>
      </c>
      <c r="F65">
        <f t="shared" si="32"/>
        <v>1818.1818181818182</v>
      </c>
    </row>
    <row r="66" spans="1:6">
      <c r="A66">
        <v>800</v>
      </c>
      <c r="B66" s="1">
        <v>41</v>
      </c>
      <c r="C66">
        <f t="shared" si="29"/>
        <v>1463.4146341463415</v>
      </c>
      <c r="D66" s="3">
        <f t="shared" si="30"/>
        <v>32800</v>
      </c>
      <c r="E66">
        <f t="shared" si="31"/>
        <v>2743.9024390243903</v>
      </c>
      <c r="F66">
        <f t="shared" si="32"/>
        <v>1829.2682926829268</v>
      </c>
    </row>
    <row r="67" spans="1:6">
      <c r="A67">
        <v>1000</v>
      </c>
      <c r="B67" s="1">
        <v>33.07</v>
      </c>
      <c r="C67">
        <f t="shared" si="29"/>
        <v>1814.3332325370427</v>
      </c>
      <c r="D67" s="3">
        <f t="shared" si="30"/>
        <v>33070</v>
      </c>
      <c r="E67">
        <f t="shared" si="31"/>
        <v>2721.4998488055639</v>
      </c>
      <c r="F67">
        <f>E67/1.5</f>
        <v>1814.3332325370427</v>
      </c>
    </row>
    <row r="68" spans="1:6">
      <c r="E68">
        <f>AVERAGE(E64:E67)</f>
        <v>2734.1443635317682</v>
      </c>
      <c r="F68">
        <f>E68/1.5</f>
        <v>1822.7629090211788</v>
      </c>
    </row>
    <row r="70" spans="1:6">
      <c r="A70" t="s">
        <v>41</v>
      </c>
    </row>
    <row r="71" spans="1:6">
      <c r="A71" t="s">
        <v>1</v>
      </c>
      <c r="B71" s="1" t="s">
        <v>2</v>
      </c>
      <c r="C71" t="s">
        <v>3</v>
      </c>
      <c r="E71" s="5" t="s">
        <v>9</v>
      </c>
      <c r="F71" s="5"/>
    </row>
    <row r="72" spans="1:6">
      <c r="A72">
        <v>200</v>
      </c>
      <c r="B72" s="1">
        <f>59.4</f>
        <v>59.4</v>
      </c>
      <c r="C72" s="2">
        <f t="shared" ref="C72:C78" si="33">60000/B72</f>
        <v>1010.1010101010102</v>
      </c>
      <c r="D72" s="3">
        <f t="shared" ref="D72:D78" si="34">A72*B72</f>
        <v>11880</v>
      </c>
      <c r="E72">
        <f t="shared" ref="E72:E78" si="35">C72*1500/A72</f>
        <v>7575.757575757576</v>
      </c>
      <c r="F72">
        <f>E72/1.5</f>
        <v>5050.5050505050503</v>
      </c>
    </row>
    <row r="73" spans="1:6">
      <c r="A73">
        <v>300</v>
      </c>
      <c r="B73" s="1">
        <v>40.6</v>
      </c>
      <c r="C73" s="2">
        <f t="shared" si="33"/>
        <v>1477.8325123152708</v>
      </c>
      <c r="D73" s="3">
        <f t="shared" si="34"/>
        <v>12180</v>
      </c>
      <c r="E73">
        <f t="shared" si="35"/>
        <v>7389.1625615763542</v>
      </c>
      <c r="F73">
        <f t="shared" ref="F73:F79" si="36">E73/1.5</f>
        <v>4926.1083743842364</v>
      </c>
    </row>
    <row r="74" spans="1:6">
      <c r="A74">
        <v>400</v>
      </c>
      <c r="B74" s="1">
        <f>30.6</f>
        <v>30.6</v>
      </c>
      <c r="C74" s="2">
        <f t="shared" si="33"/>
        <v>1960.7843137254902</v>
      </c>
      <c r="D74" s="3">
        <f t="shared" si="34"/>
        <v>12240</v>
      </c>
      <c r="E74">
        <f t="shared" si="35"/>
        <v>7352.9411764705883</v>
      </c>
      <c r="F74">
        <f t="shared" si="36"/>
        <v>4901.9607843137255</v>
      </c>
    </row>
    <row r="75" spans="1:6">
      <c r="A75">
        <v>500</v>
      </c>
      <c r="B75" s="1">
        <v>24.1</v>
      </c>
      <c r="C75" s="2">
        <f t="shared" si="33"/>
        <v>2489.6265560165975</v>
      </c>
      <c r="D75" s="3">
        <f t="shared" si="34"/>
        <v>12050</v>
      </c>
      <c r="E75">
        <f t="shared" si="35"/>
        <v>7468.8796680497926</v>
      </c>
      <c r="F75">
        <f t="shared" si="36"/>
        <v>4979.2531120331951</v>
      </c>
    </row>
    <row r="76" spans="1:6">
      <c r="A76">
        <v>600</v>
      </c>
      <c r="B76" s="1">
        <v>19.899999999999999</v>
      </c>
      <c r="C76" s="2">
        <f t="shared" si="33"/>
        <v>3015.0753768844224</v>
      </c>
      <c r="D76" s="3">
        <f t="shared" si="34"/>
        <v>11940</v>
      </c>
      <c r="E76">
        <f t="shared" si="35"/>
        <v>7537.6884422110561</v>
      </c>
      <c r="F76">
        <f t="shared" si="36"/>
        <v>5025.1256281407041</v>
      </c>
    </row>
    <row r="77" spans="1:6">
      <c r="A77">
        <v>700</v>
      </c>
      <c r="B77" s="1">
        <v>17.3</v>
      </c>
      <c r="C77" s="2">
        <f t="shared" si="33"/>
        <v>3468.2080924855491</v>
      </c>
      <c r="D77" s="3">
        <f t="shared" si="34"/>
        <v>12110</v>
      </c>
      <c r="E77">
        <f t="shared" si="35"/>
        <v>7431.8744838976045</v>
      </c>
      <c r="F77">
        <f t="shared" si="36"/>
        <v>4954.58298926507</v>
      </c>
    </row>
    <row r="78" spans="1:6">
      <c r="A78">
        <v>800</v>
      </c>
      <c r="B78" s="1">
        <v>15</v>
      </c>
      <c r="C78" s="2">
        <f t="shared" si="33"/>
        <v>4000</v>
      </c>
      <c r="D78" s="3">
        <f t="shared" si="34"/>
        <v>12000</v>
      </c>
      <c r="E78">
        <f t="shared" si="35"/>
        <v>7500</v>
      </c>
      <c r="F78">
        <f t="shared" si="36"/>
        <v>5000</v>
      </c>
    </row>
    <row r="79" spans="1:6">
      <c r="E79">
        <f>AVERAGE(E72:E78)</f>
        <v>7465.1862725661395</v>
      </c>
      <c r="F79">
        <f t="shared" si="36"/>
        <v>4976.7908483774263</v>
      </c>
    </row>
    <row r="81" spans="5:6">
      <c r="E81" s="6"/>
      <c r="F81" s="6"/>
    </row>
    <row r="82" spans="5:6">
      <c r="E82" s="6"/>
      <c r="F82" s="6"/>
    </row>
    <row r="83" spans="5:6">
      <c r="E83" s="6"/>
      <c r="F83" s="6"/>
    </row>
    <row r="84" spans="5:6">
      <c r="E84" s="6"/>
      <c r="F84" s="6"/>
    </row>
    <row r="85" spans="5:6">
      <c r="E85" s="6"/>
      <c r="F85" s="6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9217" r:id="rId3">
          <objectPr defaultSize="0" autoPict="0" r:id="rId4">
            <anchor moveWithCells="1">
              <from>
                <xdr:col>12</xdr:col>
                <xdr:colOff>289560</xdr:colOff>
                <xdr:row>54</xdr:row>
                <xdr:rowOff>60960</xdr:rowOff>
              </from>
              <to>
                <xdr:col>20</xdr:col>
                <xdr:colOff>403860</xdr:colOff>
                <xdr:row>61</xdr:row>
                <xdr:rowOff>190500</xdr:rowOff>
              </to>
            </anchor>
          </objectPr>
        </oleObject>
      </mc:Choice>
      <mc:Fallback>
        <oleObject progId="Equation.3" shapeId="9217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08"/>
  <sheetViews>
    <sheetView showGridLines="0" workbookViewId="0">
      <pane ySplit="1" topLeftCell="A86" activePane="bottomLeft" state="frozen"/>
      <selection pane="bottomLeft" activeCell="G100" sqref="G100"/>
    </sheetView>
  </sheetViews>
  <sheetFormatPr defaultColWidth="12.69921875" defaultRowHeight="14.4"/>
  <cols>
    <col min="1" max="1" width="33.3984375" style="184" bestFit="1" customWidth="1"/>
    <col min="2" max="2" width="7.59765625" bestFit="1" customWidth="1"/>
    <col min="3" max="4" width="5.19921875" style="147" bestFit="1" customWidth="1"/>
    <col min="5" max="5" width="8.19921875" style="148" bestFit="1" customWidth="1"/>
    <col min="6" max="7" width="12.296875" bestFit="1" customWidth="1"/>
    <col min="8" max="9" width="12.59765625" bestFit="1" customWidth="1"/>
    <col min="10" max="10" width="4.19921875" bestFit="1" customWidth="1"/>
    <col min="11" max="11" width="5.69921875" bestFit="1" customWidth="1"/>
    <col min="12" max="12" width="9.5" bestFit="1" customWidth="1"/>
    <col min="13" max="13" width="7.69921875" style="192" bestFit="1" customWidth="1"/>
    <col min="14" max="14" width="5.69921875" style="192" bestFit="1" customWidth="1"/>
    <col min="15" max="15" width="15.8984375" bestFit="1" customWidth="1"/>
    <col min="16" max="16" width="11.19921875" style="7" bestFit="1" customWidth="1"/>
    <col min="18" max="18" width="8" bestFit="1" customWidth="1"/>
    <col min="19" max="19" width="4.796875" bestFit="1" customWidth="1"/>
    <col min="20" max="20" width="11" style="6" bestFit="1" customWidth="1"/>
    <col min="21" max="21" width="11.19921875" style="6" customWidth="1"/>
    <col min="22" max="26" width="12.796875" style="6"/>
  </cols>
  <sheetData>
    <row r="1" spans="1:26" ht="29.4" thickBot="1">
      <c r="A1" s="181" t="s">
        <v>32</v>
      </c>
      <c r="B1" s="28" t="s">
        <v>31</v>
      </c>
      <c r="C1" s="153" t="s">
        <v>683</v>
      </c>
      <c r="D1" s="153" t="s">
        <v>684</v>
      </c>
      <c r="E1" s="154" t="s">
        <v>685</v>
      </c>
      <c r="F1" s="13" t="s">
        <v>686</v>
      </c>
      <c r="G1" s="14" t="s">
        <v>23</v>
      </c>
      <c r="H1" s="173" t="s">
        <v>688</v>
      </c>
      <c r="I1" s="173" t="s">
        <v>687</v>
      </c>
      <c r="J1" s="15" t="s">
        <v>14</v>
      </c>
      <c r="K1" s="14" t="s">
        <v>15</v>
      </c>
      <c r="L1" s="15" t="s">
        <v>18</v>
      </c>
      <c r="M1" s="185" t="s">
        <v>17</v>
      </c>
      <c r="N1" s="185" t="s">
        <v>16</v>
      </c>
      <c r="O1" s="16"/>
      <c r="P1" s="17" t="s">
        <v>27</v>
      </c>
    </row>
    <row r="2" spans="1:26">
      <c r="A2" s="182" t="s">
        <v>20</v>
      </c>
      <c r="B2" s="18">
        <v>693</v>
      </c>
      <c r="C2" s="149"/>
      <c r="D2" s="149"/>
      <c r="E2" s="155"/>
      <c r="F2" s="19">
        <v>1</v>
      </c>
      <c r="G2" s="20">
        <f>F4*G4</f>
        <v>13216.875</v>
      </c>
      <c r="H2" s="21"/>
      <c r="I2" s="21">
        <v>9</v>
      </c>
      <c r="J2" s="21">
        <f>G2/6355+0.68*K2/1000</f>
        <v>2.7053600314712822</v>
      </c>
      <c r="K2" s="20">
        <f>I2*80+200</f>
        <v>920</v>
      </c>
      <c r="L2" s="21">
        <f>9.8*2*PI()*G2/60*I2/100</f>
        <v>1220.7478996603893</v>
      </c>
      <c r="M2" s="186">
        <f>L2/J2/K2</f>
        <v>0.49047072311982998</v>
      </c>
      <c r="N2" s="186">
        <f>L2/J$2/K$2</f>
        <v>0.49047072311982998</v>
      </c>
      <c r="O2" s="18"/>
      <c r="P2" s="19">
        <v>1450</v>
      </c>
    </row>
    <row r="3" spans="1:26">
      <c r="A3" s="325" t="s">
        <v>11</v>
      </c>
      <c r="B3" s="316">
        <v>70093</v>
      </c>
      <c r="C3" s="157">
        <v>8</v>
      </c>
      <c r="D3" s="157">
        <v>38</v>
      </c>
      <c r="E3" s="158">
        <f>D3/C3</f>
        <v>4.75</v>
      </c>
      <c r="F3" s="10">
        <f>F2*E3</f>
        <v>4.75</v>
      </c>
      <c r="G3" s="11"/>
      <c r="H3" s="12"/>
      <c r="I3" s="12">
        <f>I2*E3*M3</f>
        <v>38.475000000000001</v>
      </c>
      <c r="J3" s="12"/>
      <c r="K3" s="11"/>
      <c r="L3" s="12">
        <f>L2*M3</f>
        <v>1098.6731096943504</v>
      </c>
      <c r="M3" s="187">
        <v>0.9</v>
      </c>
      <c r="N3" s="187">
        <f t="shared" ref="N3:N4" si="0">N2*M3</f>
        <v>0.44142365080784701</v>
      </c>
      <c r="O3" s="9"/>
      <c r="P3" s="10"/>
    </row>
    <row r="4" spans="1:26">
      <c r="A4" s="325"/>
      <c r="B4" s="317"/>
      <c r="C4" s="151">
        <v>12</v>
      </c>
      <c r="D4" s="151">
        <v>42</v>
      </c>
      <c r="E4" s="158">
        <f>D4/C4</f>
        <v>3.5</v>
      </c>
      <c r="F4" s="10">
        <f>F3*E4</f>
        <v>16.625</v>
      </c>
      <c r="G4" s="11">
        <v>795</v>
      </c>
      <c r="H4" s="12">
        <v>122</v>
      </c>
      <c r="I4" s="12">
        <f t="shared" ref="I4:I5" si="1">I3*E4*M4</f>
        <v>125.236125</v>
      </c>
      <c r="J4" s="12"/>
      <c r="K4" s="11"/>
      <c r="L4" s="12">
        <f t="shared" ref="L4:L6" si="2">L3*M4</f>
        <v>1021.765992015746</v>
      </c>
      <c r="M4" s="188">
        <v>0.93</v>
      </c>
      <c r="N4" s="187">
        <f t="shared" si="0"/>
        <v>0.41052399525129774</v>
      </c>
      <c r="O4" s="9"/>
      <c r="P4" s="10">
        <f>P$2/$F4</f>
        <v>87.218045112781951</v>
      </c>
    </row>
    <row r="5" spans="1:26">
      <c r="A5" s="325"/>
      <c r="B5" s="317"/>
      <c r="C5" s="157">
        <v>12</v>
      </c>
      <c r="D5" s="157">
        <v>42</v>
      </c>
      <c r="E5" s="158">
        <f>D5/C5</f>
        <v>3.5</v>
      </c>
      <c r="F5" s="10">
        <f>F4*E5</f>
        <v>58.1875</v>
      </c>
      <c r="G5" s="11">
        <v>227</v>
      </c>
      <c r="H5" s="12">
        <v>419</v>
      </c>
      <c r="I5" s="12">
        <f t="shared" si="1"/>
        <v>407.64358687500004</v>
      </c>
      <c r="J5" s="12"/>
      <c r="K5" s="11"/>
      <c r="L5" s="12">
        <f t="shared" si="2"/>
        <v>950.24237257464381</v>
      </c>
      <c r="M5" s="188">
        <v>0.93</v>
      </c>
      <c r="N5" s="187">
        <f>N4*M5</f>
        <v>0.38178731558370693</v>
      </c>
      <c r="O5" s="9"/>
      <c r="P5" s="10">
        <f>P$2/$F5</f>
        <v>24.919441460794843</v>
      </c>
    </row>
    <row r="6" spans="1:26" ht="15" thickBot="1">
      <c r="A6" s="326"/>
      <c r="B6" s="318"/>
      <c r="C6" s="152">
        <v>12</v>
      </c>
      <c r="D6" s="152">
        <v>42</v>
      </c>
      <c r="E6" s="156">
        <f>D6/C6</f>
        <v>3.5</v>
      </c>
      <c r="F6" s="23">
        <f>F5*E6</f>
        <v>203.65625</v>
      </c>
      <c r="G6" s="24">
        <v>65</v>
      </c>
      <c r="H6" s="25">
        <v>1404</v>
      </c>
      <c r="I6" s="25">
        <f>I5*E6*M6</f>
        <v>1326.8798752781252</v>
      </c>
      <c r="J6" s="25"/>
      <c r="K6" s="24"/>
      <c r="L6" s="25">
        <f t="shared" si="2"/>
        <v>883.72540649441873</v>
      </c>
      <c r="M6" s="189">
        <v>0.93</v>
      </c>
      <c r="N6" s="188">
        <f>N5*M6</f>
        <v>0.35506220349284745</v>
      </c>
      <c r="O6" s="22"/>
      <c r="P6" s="23">
        <f>P$2/$F6</f>
        <v>7.1198404173699554</v>
      </c>
    </row>
    <row r="7" spans="1:26">
      <c r="A7" s="182" t="s">
        <v>20</v>
      </c>
      <c r="B7" s="18">
        <v>693</v>
      </c>
      <c r="C7" s="149"/>
      <c r="D7" s="149"/>
      <c r="E7" s="155"/>
      <c r="F7" s="19">
        <v>1</v>
      </c>
      <c r="G7" s="20">
        <f>F10*G10</f>
        <v>13245.555555555557</v>
      </c>
      <c r="H7" s="12"/>
      <c r="I7" s="12">
        <v>9</v>
      </c>
      <c r="J7" s="21">
        <f>G7/6355+0.68*K7/1000</f>
        <v>2.7098731007955243</v>
      </c>
      <c r="K7" s="20">
        <f>I7*80+200</f>
        <v>920</v>
      </c>
      <c r="L7" s="21">
        <f>9.8*2*PI()*G7/60*I7/100</f>
        <v>1223.3969167658352</v>
      </c>
      <c r="M7" s="186">
        <f>L7/J7/K7</f>
        <v>0.49071643132063708</v>
      </c>
      <c r="N7" s="186">
        <f>L7/J$7/K$7</f>
        <v>0.49071643132063708</v>
      </c>
      <c r="O7" s="18"/>
      <c r="P7" s="19">
        <v>1450</v>
      </c>
    </row>
    <row r="8" spans="1:26">
      <c r="A8" s="319" t="s">
        <v>698</v>
      </c>
      <c r="B8" s="316">
        <v>70103</v>
      </c>
      <c r="C8" s="160">
        <v>8</v>
      </c>
      <c r="D8" s="160">
        <v>26</v>
      </c>
      <c r="E8" s="158">
        <f>D8/C8</f>
        <v>3.25</v>
      </c>
      <c r="F8" s="10">
        <f>F7*E8</f>
        <v>3.25</v>
      </c>
      <c r="G8" s="162"/>
      <c r="H8" s="12"/>
      <c r="I8" s="12">
        <f>I7*E8*M8</f>
        <v>24.862500000000001</v>
      </c>
      <c r="J8" s="163"/>
      <c r="K8" s="162"/>
      <c r="L8" s="12">
        <f t="shared" ref="L8:L10" si="3">L7*M8</f>
        <v>1039.8873792509598</v>
      </c>
      <c r="M8" s="187">
        <v>0.85</v>
      </c>
      <c r="N8" s="187">
        <f t="shared" ref="N8:N10" si="4">N7*M8</f>
        <v>0.41710896662254149</v>
      </c>
      <c r="O8" s="164"/>
      <c r="P8" s="161"/>
    </row>
    <row r="9" spans="1:26" ht="13.95" customHeight="1">
      <c r="A9" s="320"/>
      <c r="B9" s="317"/>
      <c r="C9" s="150">
        <v>9</v>
      </c>
      <c r="D9" s="150">
        <v>14</v>
      </c>
      <c r="E9" s="158">
        <f t="shared" ref="E9:E12" si="5">D9/C9</f>
        <v>1.5555555555555556</v>
      </c>
      <c r="F9" s="10">
        <f t="shared" ref="F9:F11" si="6">F8*E9</f>
        <v>5.0555555555555554</v>
      </c>
      <c r="G9" s="11"/>
      <c r="H9" s="12"/>
      <c r="I9" s="12">
        <f>I8*E9*M9</f>
        <v>33.2605</v>
      </c>
      <c r="J9" s="12"/>
      <c r="K9" s="11"/>
      <c r="L9" s="12">
        <f t="shared" si="3"/>
        <v>894.3031461558254</v>
      </c>
      <c r="M9" s="187">
        <v>0.86</v>
      </c>
      <c r="N9" s="187">
        <f t="shared" si="4"/>
        <v>0.35871371129538565</v>
      </c>
      <c r="O9" s="9"/>
      <c r="P9" s="10"/>
    </row>
    <row r="10" spans="1:26">
      <c r="A10" s="320"/>
      <c r="B10" s="317"/>
      <c r="C10" s="157">
        <v>1</v>
      </c>
      <c r="D10" s="157">
        <v>20</v>
      </c>
      <c r="E10" s="158">
        <f t="shared" si="5"/>
        <v>20</v>
      </c>
      <c r="F10" s="10">
        <f t="shared" si="6"/>
        <v>101.11111111111111</v>
      </c>
      <c r="G10" s="11">
        <v>131</v>
      </c>
      <c r="H10" s="12">
        <v>130</v>
      </c>
      <c r="I10" s="12">
        <f>I9*E10*M10</f>
        <v>133.042</v>
      </c>
      <c r="J10" s="12"/>
      <c r="K10" s="11"/>
      <c r="L10" s="12">
        <f t="shared" si="3"/>
        <v>178.86062923116509</v>
      </c>
      <c r="M10" s="187">
        <v>0.2</v>
      </c>
      <c r="N10" s="187">
        <f t="shared" si="4"/>
        <v>7.1742742259077133E-2</v>
      </c>
      <c r="O10" s="9" t="s">
        <v>697</v>
      </c>
      <c r="P10" s="10">
        <f t="shared" ref="P10:P11" si="7">P$7/$F10</f>
        <v>14.340659340659339</v>
      </c>
    </row>
    <row r="11" spans="1:26" s="168" customFormat="1">
      <c r="A11" s="320"/>
      <c r="B11" s="317"/>
      <c r="C11" s="167">
        <v>9</v>
      </c>
      <c r="D11" s="167">
        <v>24</v>
      </c>
      <c r="E11" s="158">
        <f t="shared" si="5"/>
        <v>2.6666666666666665</v>
      </c>
      <c r="F11" s="10">
        <f t="shared" si="6"/>
        <v>269.62962962962962</v>
      </c>
      <c r="G11" s="11">
        <v>49</v>
      </c>
      <c r="H11" s="12">
        <v>339</v>
      </c>
      <c r="I11" s="12">
        <f>I10*E11*M11</f>
        <v>319.30079999999998</v>
      </c>
      <c r="J11" s="12"/>
      <c r="K11" s="11"/>
      <c r="L11" s="12">
        <f t="shared" ref="L11:L12" si="8">L10*M11</f>
        <v>160.97456630804859</v>
      </c>
      <c r="M11" s="187">
        <v>0.9</v>
      </c>
      <c r="N11" s="187">
        <f>N10*M11</f>
        <v>6.4568468033169416E-2</v>
      </c>
      <c r="O11" s="9"/>
      <c r="P11" s="10">
        <f t="shared" si="7"/>
        <v>5.3777472527472527</v>
      </c>
      <c r="T11" s="169"/>
      <c r="U11" s="169"/>
      <c r="V11" s="169"/>
      <c r="W11" s="169"/>
      <c r="X11" s="169"/>
      <c r="Y11" s="169"/>
      <c r="Z11" s="169"/>
    </row>
    <row r="12" spans="1:26" ht="15" thickBot="1">
      <c r="A12" s="321"/>
      <c r="B12" s="318"/>
      <c r="C12" s="152">
        <v>9</v>
      </c>
      <c r="D12" s="152">
        <v>24</v>
      </c>
      <c r="E12" s="158">
        <f t="shared" si="5"/>
        <v>2.6666666666666665</v>
      </c>
      <c r="F12" s="159">
        <f>26/8*24/9*24/9*14/9*20</f>
        <v>719.01234567901224</v>
      </c>
      <c r="G12" s="170">
        <v>18</v>
      </c>
      <c r="H12" s="171">
        <v>793</v>
      </c>
      <c r="I12" s="25">
        <f>I11*E12*M12</f>
        <v>766.32191999999986</v>
      </c>
      <c r="J12" s="171"/>
      <c r="K12" s="170"/>
      <c r="L12" s="25">
        <f t="shared" si="8"/>
        <v>144.87710967724374</v>
      </c>
      <c r="M12" s="190">
        <v>0.9</v>
      </c>
      <c r="N12" s="188">
        <f>N11*M12</f>
        <v>5.8111621229852473E-2</v>
      </c>
      <c r="O12" s="172"/>
      <c r="P12" s="159">
        <f>P$7/$F12</f>
        <v>2.0166552197802199</v>
      </c>
    </row>
    <row r="13" spans="1:26">
      <c r="A13" s="182" t="s">
        <v>20</v>
      </c>
      <c r="B13" s="18">
        <v>693</v>
      </c>
      <c r="C13" s="149"/>
      <c r="D13" s="149"/>
      <c r="E13" s="155"/>
      <c r="F13" s="19">
        <v>1</v>
      </c>
      <c r="G13" s="20">
        <f>F15*G15</f>
        <v>13230</v>
      </c>
      <c r="H13" s="21"/>
      <c r="I13" s="21">
        <v>9</v>
      </c>
      <c r="J13" s="21">
        <f>G13/6355+0.68*K13/1000</f>
        <v>2.7074253343823762</v>
      </c>
      <c r="K13" s="20">
        <f>I13*80+200</f>
        <v>920</v>
      </c>
      <c r="L13" s="21">
        <f>9.8*2*PI()*G13/60*I13/100</f>
        <v>1221.9601617255933</v>
      </c>
      <c r="M13" s="186">
        <f>L13/J13/K13</f>
        <v>0.49058326751457099</v>
      </c>
      <c r="N13" s="186">
        <f>L13/J$13/K$13</f>
        <v>0.49058326751457099</v>
      </c>
      <c r="O13" s="18"/>
      <c r="P13" s="19">
        <v>1450</v>
      </c>
    </row>
    <row r="14" spans="1:26">
      <c r="A14" s="310" t="s">
        <v>718</v>
      </c>
      <c r="B14" s="316">
        <v>70110</v>
      </c>
      <c r="C14" s="166">
        <v>1</v>
      </c>
      <c r="D14" s="166">
        <v>36</v>
      </c>
      <c r="E14" s="158">
        <f>D14/C14</f>
        <v>36</v>
      </c>
      <c r="F14" s="10">
        <f>F13*E14</f>
        <v>36</v>
      </c>
      <c r="G14" s="162"/>
      <c r="H14" s="163"/>
      <c r="I14" s="12">
        <f>I13*E14*M14</f>
        <v>145.80000000000001</v>
      </c>
      <c r="J14" s="163"/>
      <c r="K14" s="162"/>
      <c r="L14" s="12">
        <f t="shared" ref="L14:L16" si="9">L13*M14</f>
        <v>549.88207277651702</v>
      </c>
      <c r="M14" s="187">
        <v>0.45</v>
      </c>
      <c r="N14" s="187">
        <f t="shared" ref="N14:N16" si="10">N13*M14</f>
        <v>0.22076247038155694</v>
      </c>
      <c r="O14" s="164"/>
      <c r="P14" s="161"/>
    </row>
    <row r="15" spans="1:26">
      <c r="A15" s="311"/>
      <c r="B15" s="317"/>
      <c r="C15" s="157">
        <v>12</v>
      </c>
      <c r="D15" s="157">
        <v>42</v>
      </c>
      <c r="E15" s="158">
        <f>D15/C15</f>
        <v>3.5</v>
      </c>
      <c r="F15" s="10">
        <f t="shared" ref="F15:F17" si="11">F14*E15</f>
        <v>126</v>
      </c>
      <c r="G15" s="11">
        <v>105</v>
      </c>
      <c r="H15" s="12">
        <v>585</v>
      </c>
      <c r="I15" s="12">
        <f t="shared" ref="I15:I17" si="12">I14*E15*M15</f>
        <v>474.57900000000006</v>
      </c>
      <c r="J15" s="12"/>
      <c r="K15" s="11"/>
      <c r="L15" s="12">
        <f t="shared" si="9"/>
        <v>511.39032768216083</v>
      </c>
      <c r="M15" s="187">
        <v>0.93</v>
      </c>
      <c r="N15" s="187">
        <f t="shared" si="10"/>
        <v>0.20530909745484796</v>
      </c>
      <c r="O15" s="9"/>
      <c r="P15" s="10">
        <f>P$13/$F15</f>
        <v>11.507936507936508</v>
      </c>
    </row>
    <row r="16" spans="1:26">
      <c r="A16" s="311"/>
      <c r="B16" s="317"/>
      <c r="C16" s="157">
        <v>12</v>
      </c>
      <c r="D16" s="157">
        <v>42</v>
      </c>
      <c r="E16" s="158">
        <f>D16/C16</f>
        <v>3.5</v>
      </c>
      <c r="F16" s="10">
        <f t="shared" si="11"/>
        <v>441</v>
      </c>
      <c r="G16" s="11">
        <v>30</v>
      </c>
      <c r="H16" s="12">
        <v>1483</v>
      </c>
      <c r="I16" s="12">
        <f t="shared" si="12"/>
        <v>1544.7546450000002</v>
      </c>
      <c r="J16" s="12"/>
      <c r="K16" s="11"/>
      <c r="L16" s="12">
        <f t="shared" si="9"/>
        <v>475.5930047444096</v>
      </c>
      <c r="M16" s="187">
        <f>M15</f>
        <v>0.93</v>
      </c>
      <c r="N16" s="187">
        <f t="shared" si="10"/>
        <v>0.19093746063300862</v>
      </c>
      <c r="O16" s="9"/>
      <c r="P16" s="10">
        <f>P$13/$F16</f>
        <v>3.2879818594104306</v>
      </c>
    </row>
    <row r="17" spans="1:16">
      <c r="A17" s="311"/>
      <c r="B17" s="317"/>
      <c r="C17" s="157">
        <v>12</v>
      </c>
      <c r="D17" s="157">
        <v>42</v>
      </c>
      <c r="E17" s="158">
        <f>D17/C17</f>
        <v>3.5</v>
      </c>
      <c r="F17" s="10">
        <f t="shared" si="11"/>
        <v>1543.5</v>
      </c>
      <c r="G17" s="11">
        <v>8.5</v>
      </c>
      <c r="H17" s="12">
        <v>499</v>
      </c>
      <c r="I17" s="12">
        <f t="shared" si="12"/>
        <v>5028.1763694750007</v>
      </c>
      <c r="J17" s="12"/>
      <c r="K17" s="11"/>
      <c r="L17" s="12">
        <f t="shared" ref="L17:L18" si="13">L16*M17</f>
        <v>442.30149441230094</v>
      </c>
      <c r="M17" s="187">
        <f>M15</f>
        <v>0.93</v>
      </c>
      <c r="N17" s="187">
        <f>N16*M17</f>
        <v>0.17757183838869803</v>
      </c>
      <c r="O17" s="9" t="s">
        <v>24</v>
      </c>
      <c r="P17" s="10">
        <f>P$13/$F17</f>
        <v>0.93942338840298023</v>
      </c>
    </row>
    <row r="18" spans="1:16" ht="15" thickBot="1">
      <c r="A18" s="312"/>
      <c r="B18" s="318"/>
      <c r="C18" s="152">
        <v>12</v>
      </c>
      <c r="D18" s="152">
        <v>42</v>
      </c>
      <c r="E18" s="156">
        <f>D18/C18</f>
        <v>3.5</v>
      </c>
      <c r="F18" s="10">
        <f>F17*E18</f>
        <v>5402.25</v>
      </c>
      <c r="G18" s="24">
        <v>2.4</v>
      </c>
      <c r="H18" s="25">
        <v>2020</v>
      </c>
      <c r="I18" s="25">
        <f>I17*E18*M18</f>
        <v>16366.714082641131</v>
      </c>
      <c r="J18" s="25"/>
      <c r="K18" s="24"/>
      <c r="L18" s="25">
        <f t="shared" si="13"/>
        <v>411.3403898034399</v>
      </c>
      <c r="M18" s="189">
        <f>M15</f>
        <v>0.93</v>
      </c>
      <c r="N18" s="188">
        <f>N17*M18</f>
        <v>0.16514180970148917</v>
      </c>
      <c r="O18" s="22" t="s">
        <v>24</v>
      </c>
      <c r="P18" s="23">
        <f>P$13/$F18</f>
        <v>0.26840668240085147</v>
      </c>
    </row>
    <row r="19" spans="1:16">
      <c r="A19" s="182" t="s">
        <v>20</v>
      </c>
      <c r="B19" s="18">
        <v>693</v>
      </c>
      <c r="C19" s="149"/>
      <c r="D19" s="149"/>
      <c r="E19" s="155"/>
      <c r="F19" s="19">
        <v>1</v>
      </c>
      <c r="G19" s="20">
        <f>F21*G21</f>
        <v>13247.25</v>
      </c>
      <c r="H19" s="21"/>
      <c r="I19" s="21">
        <v>9</v>
      </c>
      <c r="J19" s="21">
        <f>G19/6355+0.68*K19/1000</f>
        <v>2.710139732494099</v>
      </c>
      <c r="K19" s="20">
        <f>I19*80+200</f>
        <v>920</v>
      </c>
      <c r="L19" s="21">
        <f>9.8*2*PI()*G19/60*I19/100</f>
        <v>1223.5534204398614</v>
      </c>
      <c r="M19" s="186">
        <f>L19/J19/K19</f>
        <v>0.49073092213566277</v>
      </c>
      <c r="N19" s="186">
        <f>L19/J$19/K$19</f>
        <v>0.49073092213566277</v>
      </c>
      <c r="O19" s="18"/>
      <c r="P19" s="19">
        <v>1450</v>
      </c>
    </row>
    <row r="20" spans="1:16">
      <c r="A20" s="330" t="s">
        <v>10</v>
      </c>
      <c r="B20" s="316">
        <v>70167</v>
      </c>
      <c r="C20" s="165">
        <v>8</v>
      </c>
      <c r="D20" s="165">
        <v>34</v>
      </c>
      <c r="E20" s="158">
        <f>D20/C20</f>
        <v>4.25</v>
      </c>
      <c r="F20" s="10">
        <f>F19*E20</f>
        <v>4.25</v>
      </c>
      <c r="G20" s="162"/>
      <c r="H20" s="163"/>
      <c r="I20" s="12">
        <f>I19*E20*M20</f>
        <v>34.425000000000004</v>
      </c>
      <c r="J20" s="163"/>
      <c r="K20" s="162"/>
      <c r="L20" s="12">
        <f t="shared" ref="L20:L22" si="14">L19*M20</f>
        <v>1101.1980783958752</v>
      </c>
      <c r="M20" s="188">
        <v>0.9</v>
      </c>
      <c r="N20" s="187">
        <f t="shared" ref="N20:N22" si="15">N19*M20</f>
        <v>0.44165782992209651</v>
      </c>
      <c r="O20" s="164"/>
      <c r="P20" s="161"/>
    </row>
    <row r="21" spans="1:16">
      <c r="A21" s="331"/>
      <c r="B21" s="317"/>
      <c r="C21" s="157">
        <v>12</v>
      </c>
      <c r="D21" s="157">
        <v>36</v>
      </c>
      <c r="E21" s="158">
        <f>D21/C21</f>
        <v>3</v>
      </c>
      <c r="F21" s="10">
        <f t="shared" ref="F21:F24" si="16">F20*E21</f>
        <v>12.75</v>
      </c>
      <c r="G21" s="11">
        <v>1039</v>
      </c>
      <c r="H21" s="12">
        <v>94</v>
      </c>
      <c r="I21" s="12">
        <f t="shared" ref="I21:I23" si="17">I20*E21*M21</f>
        <v>97.078500000000005</v>
      </c>
      <c r="J21" s="12"/>
      <c r="K21" s="11"/>
      <c r="L21" s="12">
        <f t="shared" si="14"/>
        <v>1035.1261936921226</v>
      </c>
      <c r="M21" s="188">
        <v>0.94</v>
      </c>
      <c r="N21" s="187">
        <f t="shared" si="15"/>
        <v>0.41515836012677071</v>
      </c>
      <c r="O21" s="9"/>
      <c r="P21" s="10">
        <f>P$19/$F21</f>
        <v>113.72549019607843</v>
      </c>
    </row>
    <row r="22" spans="1:16">
      <c r="A22" s="331"/>
      <c r="B22" s="317"/>
      <c r="C22" s="157">
        <v>12</v>
      </c>
      <c r="D22" s="157">
        <v>36</v>
      </c>
      <c r="E22" s="158">
        <f>D22/C22</f>
        <v>3</v>
      </c>
      <c r="F22" s="10">
        <f t="shared" si="16"/>
        <v>38.25</v>
      </c>
      <c r="G22" s="11">
        <v>345</v>
      </c>
      <c r="H22" s="12">
        <v>278</v>
      </c>
      <c r="I22" s="12">
        <f t="shared" si="17"/>
        <v>273.76137</v>
      </c>
      <c r="J22" s="12"/>
      <c r="K22" s="11"/>
      <c r="L22" s="12">
        <f t="shared" si="14"/>
        <v>973.01862207059514</v>
      </c>
      <c r="M22" s="188">
        <f>M21</f>
        <v>0.94</v>
      </c>
      <c r="N22" s="187">
        <f t="shared" si="15"/>
        <v>0.39024885851916447</v>
      </c>
      <c r="O22" s="9"/>
      <c r="P22" s="10">
        <f>P$19/$F22</f>
        <v>37.908496732026144</v>
      </c>
    </row>
    <row r="23" spans="1:16">
      <c r="A23" s="331"/>
      <c r="B23" s="317"/>
      <c r="C23" s="157">
        <v>12</v>
      </c>
      <c r="D23" s="157">
        <v>36</v>
      </c>
      <c r="E23" s="158">
        <f>D23/C23</f>
        <v>3</v>
      </c>
      <c r="F23" s="10">
        <f t="shared" si="16"/>
        <v>114.75</v>
      </c>
      <c r="G23" s="11">
        <v>115</v>
      </c>
      <c r="H23" s="12">
        <v>809</v>
      </c>
      <c r="I23" s="12">
        <f t="shared" si="17"/>
        <v>772.00706339999999</v>
      </c>
      <c r="J23" s="12"/>
      <c r="K23" s="11"/>
      <c r="L23" s="12">
        <f t="shared" ref="L23:L24" si="18">L22*M23</f>
        <v>914.63750474635935</v>
      </c>
      <c r="M23" s="188">
        <f>M21</f>
        <v>0.94</v>
      </c>
      <c r="N23" s="187">
        <f>N22*M23</f>
        <v>0.36683392700801459</v>
      </c>
      <c r="O23" s="9"/>
      <c r="P23" s="10">
        <f>P$19/$F23</f>
        <v>12.636165577342048</v>
      </c>
    </row>
    <row r="24" spans="1:16" ht="15" thickBot="1">
      <c r="A24" s="332"/>
      <c r="B24" s="318"/>
      <c r="C24" s="152">
        <v>12</v>
      </c>
      <c r="D24" s="152">
        <v>36</v>
      </c>
      <c r="E24" s="156">
        <f>D24/C24</f>
        <v>3</v>
      </c>
      <c r="F24" s="10">
        <f t="shared" si="16"/>
        <v>344.25</v>
      </c>
      <c r="G24" s="24">
        <v>38</v>
      </c>
      <c r="H24" s="25">
        <v>2276</v>
      </c>
      <c r="I24" s="25">
        <f>I23*E24*M24</f>
        <v>2177.0599187879998</v>
      </c>
      <c r="J24" s="25"/>
      <c r="K24" s="24"/>
      <c r="L24" s="25">
        <f t="shared" si="18"/>
        <v>859.75925446157771</v>
      </c>
      <c r="M24" s="189">
        <f>M21</f>
        <v>0.94</v>
      </c>
      <c r="N24" s="188">
        <f>N23*M24</f>
        <v>0.34482389138753372</v>
      </c>
      <c r="O24" s="22"/>
      <c r="P24" s="23">
        <f>P$19/$F24</f>
        <v>4.2120551924473491</v>
      </c>
    </row>
    <row r="25" spans="1:16">
      <c r="A25" s="182" t="s">
        <v>19</v>
      </c>
      <c r="B25" s="18">
        <v>903</v>
      </c>
      <c r="C25" s="149"/>
      <c r="D25" s="149"/>
      <c r="E25" s="155"/>
      <c r="F25" s="26">
        <v>1</v>
      </c>
      <c r="G25" s="20">
        <f>F31*G31</f>
        <v>6319.1364923076935</v>
      </c>
      <c r="H25" s="27"/>
      <c r="I25" s="27">
        <v>7</v>
      </c>
      <c r="J25" s="21">
        <v>3</v>
      </c>
      <c r="K25" s="20">
        <v>280</v>
      </c>
      <c r="L25" s="21">
        <f t="shared" ref="L25:L32" si="19">9.8*2*PI()*G25/60*I25/100</f>
        <v>453.95256026492689</v>
      </c>
      <c r="M25" s="186">
        <f>L25/J25/K25</f>
        <v>0.54041971460110338</v>
      </c>
      <c r="N25" s="186">
        <f>L25/J$32/K$32</f>
        <v>0.54041971460110338</v>
      </c>
      <c r="O25" s="18"/>
      <c r="P25" s="19">
        <v>590</v>
      </c>
    </row>
    <row r="26" spans="1:16">
      <c r="A26" s="333" t="s">
        <v>699</v>
      </c>
      <c r="B26" s="316">
        <v>70188</v>
      </c>
      <c r="C26" s="157">
        <v>9</v>
      </c>
      <c r="D26" s="157">
        <v>24</v>
      </c>
      <c r="E26" s="158">
        <f t="shared" ref="E26:E29" si="20">D26/C26</f>
        <v>2.6666666666666665</v>
      </c>
      <c r="F26" s="10">
        <f>F25*E26</f>
        <v>2.6666666666666665</v>
      </c>
      <c r="G26" s="11"/>
      <c r="H26" s="12"/>
      <c r="I26" s="12">
        <f t="shared" ref="I26:I29" si="21">I25*E26*M26</f>
        <v>17.173333333333332</v>
      </c>
      <c r="J26" s="12"/>
      <c r="K26" s="11"/>
      <c r="L26" s="12">
        <f t="shared" ref="L26:L29" si="22">L25*M26</f>
        <v>417.63635544373278</v>
      </c>
      <c r="M26" s="188">
        <v>0.92</v>
      </c>
      <c r="N26" s="187">
        <f t="shared" ref="N26:N29" si="23">N25*M26</f>
        <v>0.49718613743301515</v>
      </c>
      <c r="O26" s="9"/>
      <c r="P26" s="10"/>
    </row>
    <row r="27" spans="1:16">
      <c r="A27" s="331"/>
      <c r="B27" s="317"/>
      <c r="C27" s="157">
        <v>13</v>
      </c>
      <c r="D27" s="157">
        <v>21</v>
      </c>
      <c r="E27" s="158">
        <f t="shared" si="20"/>
        <v>1.6153846153846154</v>
      </c>
      <c r="F27" s="10">
        <f t="shared" ref="F27:F29" si="24">F26*E27</f>
        <v>4.3076923076923075</v>
      </c>
      <c r="G27" s="11"/>
      <c r="H27" s="12"/>
      <c r="I27" s="12">
        <f t="shared" si="21"/>
        <v>26.354461538461535</v>
      </c>
      <c r="J27" s="12"/>
      <c r="K27" s="11"/>
      <c r="L27" s="12">
        <f t="shared" si="22"/>
        <v>396.75453767154613</v>
      </c>
      <c r="M27" s="188">
        <v>0.95</v>
      </c>
      <c r="N27" s="187">
        <f t="shared" si="23"/>
        <v>0.47232683056136437</v>
      </c>
      <c r="O27" s="9"/>
      <c r="P27" s="10"/>
    </row>
    <row r="28" spans="1:16">
      <c r="A28" s="331"/>
      <c r="B28" s="317"/>
      <c r="C28" s="157">
        <v>10</v>
      </c>
      <c r="D28" s="157">
        <v>21</v>
      </c>
      <c r="E28" s="158">
        <f t="shared" si="20"/>
        <v>2.1</v>
      </c>
      <c r="F28" s="10">
        <f t="shared" si="24"/>
        <v>9.046153846153846</v>
      </c>
      <c r="G28" s="11">
        <v>663</v>
      </c>
      <c r="H28" s="12">
        <v>47</v>
      </c>
      <c r="I28" s="12">
        <f t="shared" si="21"/>
        <v>52.023707076923067</v>
      </c>
      <c r="J28" s="12"/>
      <c r="K28" s="11"/>
      <c r="L28" s="12">
        <f t="shared" si="22"/>
        <v>372.94926541125335</v>
      </c>
      <c r="M28" s="188">
        <v>0.94</v>
      </c>
      <c r="N28" s="187">
        <f t="shared" si="23"/>
        <v>0.44398722072768249</v>
      </c>
      <c r="O28" s="9"/>
      <c r="P28" s="10">
        <f>P$25/$F28</f>
        <v>65.221088435374156</v>
      </c>
    </row>
    <row r="29" spans="1:16">
      <c r="A29" s="331"/>
      <c r="B29" s="317"/>
      <c r="C29" s="157">
        <v>10</v>
      </c>
      <c r="D29" s="157">
        <v>21</v>
      </c>
      <c r="E29" s="158">
        <f t="shared" si="20"/>
        <v>2.1</v>
      </c>
      <c r="F29" s="10">
        <f t="shared" si="24"/>
        <v>18.996923076923078</v>
      </c>
      <c r="G29" s="11">
        <v>316</v>
      </c>
      <c r="H29" s="12">
        <v>98</v>
      </c>
      <c r="I29" s="12">
        <f t="shared" si="21"/>
        <v>102.69479776984613</v>
      </c>
      <c r="J29" s="12"/>
      <c r="K29" s="11"/>
      <c r="L29" s="12">
        <f t="shared" si="22"/>
        <v>350.57230948657815</v>
      </c>
      <c r="M29" s="188">
        <v>0.94</v>
      </c>
      <c r="N29" s="187">
        <f t="shared" si="23"/>
        <v>0.41734798748402152</v>
      </c>
      <c r="O29" s="9"/>
      <c r="P29" s="10">
        <f>P$25/$F29</f>
        <v>31.057661159701972</v>
      </c>
    </row>
    <row r="30" spans="1:16">
      <c r="A30" s="331"/>
      <c r="B30" s="317"/>
      <c r="C30" s="157">
        <v>10</v>
      </c>
      <c r="D30" s="157">
        <v>21</v>
      </c>
      <c r="E30" s="158">
        <f>D30/C30</f>
        <v>2.1</v>
      </c>
      <c r="F30" s="10">
        <f t="shared" ref="F30:F31" si="25">F29*E30</f>
        <v>39.893538461538469</v>
      </c>
      <c r="G30" s="11">
        <v>150</v>
      </c>
      <c r="H30" s="12">
        <v>202</v>
      </c>
      <c r="I30" s="12">
        <f t="shared" ref="I30" si="26">I29*E30*M30</f>
        <v>202.71953079767624</v>
      </c>
      <c r="J30" s="12"/>
      <c r="K30" s="11"/>
      <c r="L30" s="12">
        <f t="shared" ref="L30:L31" si="27">L29*M30</f>
        <v>329.53797091738346</v>
      </c>
      <c r="M30" s="188">
        <v>0.94</v>
      </c>
      <c r="N30" s="187">
        <f>N29*M30</f>
        <v>0.39230710823498022</v>
      </c>
      <c r="O30" s="9"/>
      <c r="P30" s="10">
        <f>P$25/$F30</f>
        <v>14.789362457000939</v>
      </c>
    </row>
    <row r="31" spans="1:16" ht="15" thickBot="1">
      <c r="A31" s="332"/>
      <c r="B31" s="318"/>
      <c r="C31" s="152">
        <v>10</v>
      </c>
      <c r="D31" s="152">
        <v>22</v>
      </c>
      <c r="E31" s="156">
        <f>D31/C31</f>
        <v>2.2000000000000002</v>
      </c>
      <c r="F31" s="10">
        <f t="shared" si="25"/>
        <v>87.765784615384632</v>
      </c>
      <c r="G31" s="24">
        <v>72</v>
      </c>
      <c r="H31" s="25">
        <v>410</v>
      </c>
      <c r="I31" s="25">
        <f>I30*E31*M31</f>
        <v>419.22398968959453</v>
      </c>
      <c r="J31" s="25"/>
      <c r="K31" s="24"/>
      <c r="L31" s="25">
        <f t="shared" si="27"/>
        <v>309.76569266234043</v>
      </c>
      <c r="M31" s="189">
        <v>0.94</v>
      </c>
      <c r="N31" s="188">
        <f>N30*M31</f>
        <v>0.3687686817408814</v>
      </c>
      <c r="O31" s="22"/>
      <c r="P31" s="23">
        <f>P$25/$F31</f>
        <v>6.722437480454972</v>
      </c>
    </row>
    <row r="32" spans="1:16">
      <c r="A32" s="182" t="s">
        <v>19</v>
      </c>
      <c r="B32" s="18">
        <v>903</v>
      </c>
      <c r="C32" s="149"/>
      <c r="D32" s="149"/>
      <c r="E32" s="155"/>
      <c r="F32" s="26">
        <v>1</v>
      </c>
      <c r="G32" s="20">
        <f>G38*F38</f>
        <v>6319.1364923076926</v>
      </c>
      <c r="H32" s="27"/>
      <c r="I32" s="27">
        <v>7</v>
      </c>
      <c r="J32" s="21">
        <v>3</v>
      </c>
      <c r="K32" s="20">
        <v>280</v>
      </c>
      <c r="L32" s="21">
        <f t="shared" si="19"/>
        <v>453.95256026492677</v>
      </c>
      <c r="M32" s="186">
        <f>L32/J32/K32</f>
        <v>0.54041971460110327</v>
      </c>
      <c r="N32" s="186">
        <f t="shared" ref="N32" si="28">L32/J$32/K$32</f>
        <v>0.54041971460110327</v>
      </c>
      <c r="O32" s="18"/>
      <c r="P32" s="19"/>
    </row>
    <row r="33" spans="1:16">
      <c r="A33" s="327" t="s">
        <v>700</v>
      </c>
      <c r="B33" s="316">
        <v>70188</v>
      </c>
      <c r="C33" s="150">
        <v>10</v>
      </c>
      <c r="D33" s="150">
        <v>24</v>
      </c>
      <c r="E33" s="158">
        <f t="shared" ref="E33:E36" si="29">D33/C33</f>
        <v>2.4</v>
      </c>
      <c r="F33" s="10">
        <f t="shared" ref="F33:F36" si="30">F32*E33</f>
        <v>2.4</v>
      </c>
      <c r="G33" s="11"/>
      <c r="H33" s="12"/>
      <c r="I33" s="12">
        <f t="shared" ref="I33:I36" si="31">I32*E33*M33</f>
        <v>15.120000000000001</v>
      </c>
      <c r="J33" s="12"/>
      <c r="K33" s="11"/>
      <c r="L33" s="12">
        <f t="shared" ref="L33:L36" si="32">L32*M33</f>
        <v>408.55730423843409</v>
      </c>
      <c r="M33" s="188">
        <v>0.9</v>
      </c>
      <c r="N33" s="187">
        <f t="shared" ref="N33:N36" si="33">N32*M33</f>
        <v>0.48637774314099297</v>
      </c>
      <c r="O33" s="9"/>
      <c r="P33" s="10">
        <f t="shared" ref="P33:P36" si="34">P$25/$F33</f>
        <v>245.83333333333334</v>
      </c>
    </row>
    <row r="34" spans="1:16">
      <c r="A34" s="328"/>
      <c r="B34" s="317"/>
      <c r="C34" s="157">
        <v>13</v>
      </c>
      <c r="D34" s="157">
        <v>21</v>
      </c>
      <c r="E34" s="158">
        <f t="shared" si="29"/>
        <v>1.6153846153846154</v>
      </c>
      <c r="F34" s="10">
        <f t="shared" si="30"/>
        <v>3.8769230769230769</v>
      </c>
      <c r="G34" s="11"/>
      <c r="H34" s="12"/>
      <c r="I34" s="12">
        <f t="shared" si="31"/>
        <v>23.203384615384614</v>
      </c>
      <c r="J34" s="12"/>
      <c r="K34" s="11"/>
      <c r="L34" s="12">
        <f t="shared" si="32"/>
        <v>388.12943902651239</v>
      </c>
      <c r="M34" s="188">
        <v>0.95</v>
      </c>
      <c r="N34" s="187">
        <f t="shared" si="33"/>
        <v>0.46205885598394331</v>
      </c>
      <c r="O34" s="9"/>
      <c r="P34" s="10">
        <f t="shared" si="34"/>
        <v>152.18253968253967</v>
      </c>
    </row>
    <row r="35" spans="1:16">
      <c r="A35" s="328"/>
      <c r="B35" s="317"/>
      <c r="C35" s="157">
        <v>10</v>
      </c>
      <c r="D35" s="157">
        <v>21</v>
      </c>
      <c r="E35" s="158">
        <f t="shared" si="29"/>
        <v>2.1</v>
      </c>
      <c r="F35" s="10">
        <f t="shared" si="30"/>
        <v>8.1415384615384614</v>
      </c>
      <c r="G35" s="11">
        <v>842</v>
      </c>
      <c r="H35" s="12">
        <v>37</v>
      </c>
      <c r="I35" s="12">
        <f t="shared" si="31"/>
        <v>45.803481230769229</v>
      </c>
      <c r="J35" s="12"/>
      <c r="K35" s="11"/>
      <c r="L35" s="12">
        <f t="shared" si="32"/>
        <v>364.8416726849216</v>
      </c>
      <c r="M35" s="188">
        <v>0.94</v>
      </c>
      <c r="N35" s="187">
        <f t="shared" si="33"/>
        <v>0.4343353246249067</v>
      </c>
      <c r="O35" s="9"/>
      <c r="P35" s="10">
        <f t="shared" si="34"/>
        <v>72.467876039304613</v>
      </c>
    </row>
    <row r="36" spans="1:16">
      <c r="A36" s="328"/>
      <c r="B36" s="317"/>
      <c r="C36" s="157">
        <v>10</v>
      </c>
      <c r="D36" s="157">
        <v>21</v>
      </c>
      <c r="E36" s="158">
        <f t="shared" si="29"/>
        <v>2.1</v>
      </c>
      <c r="F36" s="10">
        <f t="shared" si="30"/>
        <v>17.097230769230769</v>
      </c>
      <c r="G36" s="11">
        <v>401</v>
      </c>
      <c r="H36" s="12">
        <v>78</v>
      </c>
      <c r="I36" s="12">
        <f t="shared" si="31"/>
        <v>90.416071949538463</v>
      </c>
      <c r="J36" s="12"/>
      <c r="K36" s="11"/>
      <c r="L36" s="12">
        <f t="shared" si="32"/>
        <v>342.95117232382631</v>
      </c>
      <c r="M36" s="188">
        <v>0.94</v>
      </c>
      <c r="N36" s="187">
        <f t="shared" si="33"/>
        <v>0.40827520514741228</v>
      </c>
      <c r="O36" s="9"/>
      <c r="P36" s="10">
        <f t="shared" si="34"/>
        <v>34.508512399668859</v>
      </c>
    </row>
    <row r="37" spans="1:16">
      <c r="A37" s="328"/>
      <c r="B37" s="317"/>
      <c r="C37" s="157">
        <v>10</v>
      </c>
      <c r="D37" s="157">
        <v>21</v>
      </c>
      <c r="E37" s="158">
        <f>D37/C37</f>
        <v>2.1</v>
      </c>
      <c r="F37" s="10">
        <f t="shared" ref="F37:F38" si="35">F36*E37</f>
        <v>35.904184615384615</v>
      </c>
      <c r="G37" s="11">
        <v>191</v>
      </c>
      <c r="H37" s="12">
        <v>159</v>
      </c>
      <c r="I37" s="12">
        <f t="shared" ref="I37" si="36">I36*E37*M37</f>
        <v>178.48132602838893</v>
      </c>
      <c r="J37" s="12"/>
      <c r="K37" s="11"/>
      <c r="L37" s="12">
        <f t="shared" ref="L37:L38" si="37">L36*M37</f>
        <v>322.3741019843967</v>
      </c>
      <c r="M37" s="188">
        <v>0.94</v>
      </c>
      <c r="N37" s="187">
        <f>N36*M37</f>
        <v>0.38377869283856753</v>
      </c>
      <c r="O37" s="9"/>
      <c r="P37" s="10">
        <f>P$25/$F37</f>
        <v>16.432624952223268</v>
      </c>
    </row>
    <row r="38" spans="1:16" ht="15" thickBot="1">
      <c r="A38" s="329"/>
      <c r="B38" s="318"/>
      <c r="C38" s="152">
        <v>10</v>
      </c>
      <c r="D38" s="152">
        <v>22</v>
      </c>
      <c r="E38" s="156">
        <f>D38/C38</f>
        <v>2.2000000000000002</v>
      </c>
      <c r="F38" s="10">
        <f t="shared" si="35"/>
        <v>78.989206153846155</v>
      </c>
      <c r="G38" s="24">
        <v>80</v>
      </c>
      <c r="H38" s="25">
        <v>369</v>
      </c>
      <c r="I38" s="25">
        <f>I37*E38*M38</f>
        <v>369.09938222670831</v>
      </c>
      <c r="J38" s="25"/>
      <c r="K38" s="24"/>
      <c r="L38" s="25">
        <f t="shared" si="37"/>
        <v>303.03165586533288</v>
      </c>
      <c r="M38" s="189">
        <v>0.94</v>
      </c>
      <c r="N38" s="188">
        <f>N37*M38</f>
        <v>0.36075197126825348</v>
      </c>
      <c r="O38" s="22"/>
      <c r="P38" s="23">
        <f>P$25/$F38</f>
        <v>7.4693749782833034</v>
      </c>
    </row>
    <row r="39" spans="1:16">
      <c r="A39" s="182" t="s">
        <v>19</v>
      </c>
      <c r="B39" s="18">
        <v>903</v>
      </c>
      <c r="C39" s="149"/>
      <c r="D39" s="149"/>
      <c r="E39" s="155"/>
      <c r="F39" s="26">
        <v>1</v>
      </c>
      <c r="G39" s="20">
        <f>F48*G48</f>
        <v>5951.1185999999998</v>
      </c>
      <c r="H39" s="27"/>
      <c r="I39" s="27">
        <v>7</v>
      </c>
      <c r="J39" s="21">
        <v>3</v>
      </c>
      <c r="K39" s="20">
        <v>280</v>
      </c>
      <c r="L39" s="21">
        <f>9.8*2*PI()*G39/60*I39/100</f>
        <v>427.51498218131599</v>
      </c>
      <c r="M39" s="186">
        <f>L39/J39/K39</f>
        <v>0.50894640735870955</v>
      </c>
      <c r="N39" s="186">
        <f>L39/J$39/K$39</f>
        <v>0.50894640735870955</v>
      </c>
      <c r="O39" s="18"/>
      <c r="P39" s="19">
        <v>590</v>
      </c>
    </row>
    <row r="40" spans="1:16">
      <c r="A40" s="337" t="s">
        <v>709</v>
      </c>
      <c r="B40" s="334">
        <v>70189</v>
      </c>
      <c r="C40" s="160">
        <v>1</v>
      </c>
      <c r="D40" s="160">
        <v>17</v>
      </c>
      <c r="E40" s="158">
        <f t="shared" ref="E40:E45" si="38">D40/C40</f>
        <v>17</v>
      </c>
      <c r="F40" s="10">
        <f t="shared" ref="F40:F43" si="39">F39*E40</f>
        <v>17</v>
      </c>
      <c r="G40" s="162"/>
      <c r="H40" s="174"/>
      <c r="I40" s="12">
        <f t="shared" ref="I40:I47" si="40">I39*E40*M40</f>
        <v>53.550000000000004</v>
      </c>
      <c r="J40" s="163"/>
      <c r="K40" s="162"/>
      <c r="L40" s="12">
        <f t="shared" ref="L40:L46" si="41">L39*M40</f>
        <v>192.3817419815922</v>
      </c>
      <c r="M40" s="188">
        <v>0.45</v>
      </c>
      <c r="N40" s="187">
        <f t="shared" ref="N40:N43" si="42">N39*M40</f>
        <v>0.22902588331141929</v>
      </c>
      <c r="O40" s="164"/>
      <c r="P40" s="161"/>
    </row>
    <row r="41" spans="1:16">
      <c r="A41" s="338"/>
      <c r="B41" s="335"/>
      <c r="C41" s="166">
        <v>11</v>
      </c>
      <c r="D41" s="166">
        <v>21</v>
      </c>
      <c r="E41" s="158">
        <f t="shared" si="38"/>
        <v>1.9090909090909092</v>
      </c>
      <c r="F41" s="10">
        <f t="shared" si="39"/>
        <v>32.454545454545453</v>
      </c>
      <c r="G41" s="162"/>
      <c r="H41" s="174"/>
      <c r="I41" s="12">
        <f t="shared" si="40"/>
        <v>97.120227272727277</v>
      </c>
      <c r="J41" s="163"/>
      <c r="K41" s="162"/>
      <c r="L41" s="12">
        <f t="shared" si="41"/>
        <v>182.76265488251258</v>
      </c>
      <c r="M41" s="188">
        <v>0.95</v>
      </c>
      <c r="N41" s="187">
        <f t="shared" si="42"/>
        <v>0.21757458914584832</v>
      </c>
      <c r="O41" s="164"/>
      <c r="P41" s="161"/>
    </row>
    <row r="42" spans="1:16">
      <c r="A42" s="338"/>
      <c r="B42" s="335"/>
      <c r="C42" s="150">
        <v>10</v>
      </c>
      <c r="D42" s="150">
        <v>21</v>
      </c>
      <c r="E42" s="158">
        <f t="shared" si="38"/>
        <v>2.1</v>
      </c>
      <c r="F42" s="10">
        <f t="shared" si="39"/>
        <v>68.154545454545456</v>
      </c>
      <c r="G42" s="11"/>
      <c r="H42" s="12"/>
      <c r="I42" s="12">
        <f t="shared" si="40"/>
        <v>191.71532863636364</v>
      </c>
      <c r="J42" s="12"/>
      <c r="K42" s="11"/>
      <c r="L42" s="12">
        <f t="shared" si="41"/>
        <v>171.79689558956181</v>
      </c>
      <c r="M42" s="188">
        <v>0.94</v>
      </c>
      <c r="N42" s="187">
        <f t="shared" si="42"/>
        <v>0.20452011379709742</v>
      </c>
      <c r="O42" s="9"/>
      <c r="P42" s="10"/>
    </row>
    <row r="43" spans="1:16">
      <c r="A43" s="338"/>
      <c r="B43" s="335"/>
      <c r="C43" s="150">
        <v>21</v>
      </c>
      <c r="D43" s="150">
        <v>22</v>
      </c>
      <c r="E43" s="158">
        <f>D43/C43</f>
        <v>1.0476190476190477</v>
      </c>
      <c r="F43" s="10">
        <f t="shared" si="39"/>
        <v>71.400000000000006</v>
      </c>
      <c r="G43" s="11">
        <v>88</v>
      </c>
      <c r="H43" s="12">
        <v>236</v>
      </c>
      <c r="I43" s="12">
        <f t="shared" si="40"/>
        <v>190.80239850000001</v>
      </c>
      <c r="J43" s="12"/>
      <c r="K43" s="11"/>
      <c r="L43" s="12">
        <f t="shared" si="41"/>
        <v>163.20705081008373</v>
      </c>
      <c r="M43" s="188">
        <v>0.95</v>
      </c>
      <c r="N43" s="187">
        <f t="shared" si="42"/>
        <v>0.19429410810724254</v>
      </c>
      <c r="O43" s="9" t="s">
        <v>694</v>
      </c>
      <c r="P43" s="10">
        <f>P$39/$F43</f>
        <v>8.2633053221288506</v>
      </c>
    </row>
    <row r="44" spans="1:16">
      <c r="A44" s="338"/>
      <c r="B44" s="335"/>
      <c r="C44" s="150">
        <v>10</v>
      </c>
      <c r="D44" s="150">
        <v>22</v>
      </c>
      <c r="E44" s="158">
        <f>D44/C44</f>
        <v>2.2000000000000002</v>
      </c>
      <c r="F44" s="10">
        <f>F42*E44</f>
        <v>149.94000000000003</v>
      </c>
      <c r="G44" s="11">
        <v>42</v>
      </c>
      <c r="H44" s="12">
        <v>470</v>
      </c>
      <c r="I44" s="12">
        <f>I42*E44*M44</f>
        <v>392.24956239000005</v>
      </c>
      <c r="J44" s="12"/>
      <c r="K44" s="11"/>
      <c r="L44" s="12">
        <f t="shared" si="41"/>
        <v>151.78255725337789</v>
      </c>
      <c r="M44" s="188">
        <v>0.93</v>
      </c>
      <c r="N44" s="187">
        <f>N42*M44</f>
        <v>0.19020370583130061</v>
      </c>
      <c r="O44" s="9" t="s">
        <v>695</v>
      </c>
      <c r="P44" s="10">
        <f>P$39/$F44</f>
        <v>3.9349072962518332</v>
      </c>
    </row>
    <row r="45" spans="1:16">
      <c r="A45" s="338"/>
      <c r="B45" s="335"/>
      <c r="C45" s="150">
        <v>10</v>
      </c>
      <c r="D45" s="150">
        <v>21</v>
      </c>
      <c r="E45" s="158">
        <f t="shared" si="38"/>
        <v>2.1</v>
      </c>
      <c r="F45" s="10">
        <f>F42*E45</f>
        <v>143.12454545454545</v>
      </c>
      <c r="G45" s="11"/>
      <c r="H45" s="12"/>
      <c r="I45" s="12">
        <f>I42*E45*M45</f>
        <v>378.44605872818181</v>
      </c>
      <c r="J45" s="12"/>
      <c r="K45" s="11"/>
      <c r="L45" s="12">
        <f t="shared" si="41"/>
        <v>142.6756038181752</v>
      </c>
      <c r="M45" s="188">
        <v>0.94</v>
      </c>
      <c r="N45" s="187">
        <f>N42*M45</f>
        <v>0.19224890696927158</v>
      </c>
      <c r="O45" s="9"/>
      <c r="P45" s="10"/>
    </row>
    <row r="46" spans="1:16">
      <c r="A46" s="338"/>
      <c r="B46" s="335"/>
      <c r="C46" s="157">
        <v>10</v>
      </c>
      <c r="D46" s="157">
        <v>21</v>
      </c>
      <c r="E46" s="158">
        <f>D46/C46</f>
        <v>2.1</v>
      </c>
      <c r="F46" s="10">
        <f t="shared" ref="F46:F47" si="43">F45*E46</f>
        <v>300.56154545454547</v>
      </c>
      <c r="G46" s="11"/>
      <c r="H46" s="12"/>
      <c r="I46" s="12">
        <f t="shared" si="40"/>
        <v>747.0525199294309</v>
      </c>
      <c r="J46" s="12"/>
      <c r="K46" s="11"/>
      <c r="L46" s="12">
        <f t="shared" si="41"/>
        <v>134.11506758908467</v>
      </c>
      <c r="M46" s="188">
        <v>0.94</v>
      </c>
      <c r="N46" s="187">
        <f>N45*M46</f>
        <v>0.18071397255111527</v>
      </c>
      <c r="O46" s="9"/>
      <c r="P46" s="10"/>
    </row>
    <row r="47" spans="1:16">
      <c r="A47" s="338"/>
      <c r="B47" s="335"/>
      <c r="C47" s="157">
        <v>21</v>
      </c>
      <c r="D47" s="157">
        <v>22</v>
      </c>
      <c r="E47" s="158">
        <f>D47/C47</f>
        <v>1.0476190476190477</v>
      </c>
      <c r="F47" s="10">
        <f t="shared" si="43"/>
        <v>314.87400000000002</v>
      </c>
      <c r="G47" s="180">
        <v>20</v>
      </c>
      <c r="H47" s="178">
        <v>866</v>
      </c>
      <c r="I47" s="12">
        <f t="shared" si="40"/>
        <v>743.49512697738601</v>
      </c>
      <c r="J47" s="178"/>
      <c r="K47" s="180"/>
      <c r="L47" s="12">
        <f t="shared" ref="L47:L48" si="44">L46*M47</f>
        <v>127.40931420963044</v>
      </c>
      <c r="M47" s="188">
        <v>0.95</v>
      </c>
      <c r="N47" s="187">
        <f>N46*M47</f>
        <v>0.1716782739235595</v>
      </c>
      <c r="O47" s="9" t="s">
        <v>694</v>
      </c>
      <c r="P47" s="10">
        <f>P$39/$F47</f>
        <v>1.8737653791675399</v>
      </c>
    </row>
    <row r="48" spans="1:16" ht="15" thickBot="1">
      <c r="A48" s="339"/>
      <c r="B48" s="336"/>
      <c r="C48" s="152">
        <v>10</v>
      </c>
      <c r="D48" s="152">
        <v>22</v>
      </c>
      <c r="E48" s="156">
        <f>D48/C48</f>
        <v>2.2000000000000002</v>
      </c>
      <c r="F48" s="10">
        <f>F46*E48</f>
        <v>661.23540000000003</v>
      </c>
      <c r="G48" s="24">
        <v>9</v>
      </c>
      <c r="H48" s="25">
        <v>1455</v>
      </c>
      <c r="I48" s="25">
        <f>I46*E48*M48</f>
        <v>1528.4694557756159</v>
      </c>
      <c r="J48" s="25"/>
      <c r="K48" s="24"/>
      <c r="L48" s="25">
        <f t="shared" si="44"/>
        <v>118.49066221495632</v>
      </c>
      <c r="M48" s="189">
        <v>0.93</v>
      </c>
      <c r="N48" s="188">
        <f>N46*M48</f>
        <v>0.1680639944725372</v>
      </c>
      <c r="O48" s="9" t="s">
        <v>695</v>
      </c>
      <c r="P48" s="10">
        <f>P$39/$F48</f>
        <v>0.89226922817501908</v>
      </c>
    </row>
    <row r="49" spans="1:16">
      <c r="A49" s="182" t="s">
        <v>19</v>
      </c>
      <c r="B49" s="18">
        <v>903</v>
      </c>
      <c r="C49" s="149"/>
      <c r="D49" s="149"/>
      <c r="E49" s="155"/>
      <c r="F49" s="26">
        <v>1</v>
      </c>
      <c r="G49" s="20">
        <f>F57*G57</f>
        <v>6226.6203846000008</v>
      </c>
      <c r="H49" s="27"/>
      <c r="I49" s="27">
        <v>7</v>
      </c>
      <c r="J49" s="21">
        <v>3</v>
      </c>
      <c r="K49" s="20">
        <v>280</v>
      </c>
      <c r="L49" s="21">
        <f>9.8*2*PI()*G49/60*I49/100</f>
        <v>447.3064110622982</v>
      </c>
      <c r="M49" s="186">
        <f>L49/J49/K49</f>
        <v>0.53250763221702169</v>
      </c>
      <c r="N49" s="186">
        <f>L49/J$58/K$58</f>
        <v>0.53250763221702169</v>
      </c>
      <c r="O49" s="18"/>
      <c r="P49" s="19">
        <v>590</v>
      </c>
    </row>
    <row r="50" spans="1:16">
      <c r="A50" s="340" t="s">
        <v>691</v>
      </c>
      <c r="B50" s="316">
        <v>70190</v>
      </c>
      <c r="C50" s="160">
        <v>10</v>
      </c>
      <c r="D50" s="160">
        <v>14</v>
      </c>
      <c r="E50" s="158">
        <f t="shared" ref="E50:E57" si="45">D50/C50</f>
        <v>1.4</v>
      </c>
      <c r="F50" s="10">
        <f t="shared" ref="F50:F57" si="46">F49*E50</f>
        <v>1.4</v>
      </c>
      <c r="G50" s="162"/>
      <c r="H50" s="174"/>
      <c r="I50" s="12">
        <f t="shared" ref="I50:I55" si="47">I49*E50*M50</f>
        <v>9.3099999999999987</v>
      </c>
      <c r="J50" s="163"/>
      <c r="K50" s="162"/>
      <c r="L50" s="12">
        <f t="shared" ref="L50:L55" si="48">L49*M50</f>
        <v>424.94109050918325</v>
      </c>
      <c r="M50" s="187">
        <v>0.95</v>
      </c>
      <c r="N50" s="187">
        <f t="shared" ref="N50:N55" si="49">N49*M50</f>
        <v>0.50588225060617054</v>
      </c>
      <c r="O50" s="164" t="s">
        <v>689</v>
      </c>
      <c r="P50" s="161"/>
    </row>
    <row r="51" spans="1:16">
      <c r="A51" s="341"/>
      <c r="B51" s="317"/>
      <c r="C51" s="166">
        <v>10</v>
      </c>
      <c r="D51" s="166">
        <v>22</v>
      </c>
      <c r="E51" s="158">
        <f t="shared" si="45"/>
        <v>2.2000000000000002</v>
      </c>
      <c r="F51" s="10">
        <f t="shared" si="46"/>
        <v>3.08</v>
      </c>
      <c r="G51" s="162"/>
      <c r="H51" s="174"/>
      <c r="I51" s="12">
        <f t="shared" si="47"/>
        <v>18.843440000000001</v>
      </c>
      <c r="J51" s="163"/>
      <c r="K51" s="162"/>
      <c r="L51" s="12">
        <f t="shared" si="48"/>
        <v>390.94580326844863</v>
      </c>
      <c r="M51" s="187">
        <v>0.92</v>
      </c>
      <c r="N51" s="187">
        <f t="shared" si="49"/>
        <v>0.4654116705576769</v>
      </c>
      <c r="O51" s="164" t="s">
        <v>690</v>
      </c>
      <c r="P51" s="161"/>
    </row>
    <row r="52" spans="1:16">
      <c r="A52" s="341"/>
      <c r="B52" s="317"/>
      <c r="C52" s="150">
        <v>14</v>
      </c>
      <c r="D52" s="150">
        <v>21</v>
      </c>
      <c r="E52" s="158">
        <f t="shared" si="45"/>
        <v>1.5</v>
      </c>
      <c r="F52" s="10">
        <f t="shared" si="46"/>
        <v>4.62</v>
      </c>
      <c r="G52" s="11">
        <v>1360</v>
      </c>
      <c r="H52" s="12">
        <v>23</v>
      </c>
      <c r="I52" s="12">
        <f t="shared" si="47"/>
        <v>26.851901999999999</v>
      </c>
      <c r="J52" s="12"/>
      <c r="K52" s="11"/>
      <c r="L52" s="12">
        <f t="shared" si="48"/>
        <v>371.39851310502615</v>
      </c>
      <c r="M52" s="187">
        <v>0.95</v>
      </c>
      <c r="N52" s="187">
        <f t="shared" si="49"/>
        <v>0.44214108702979305</v>
      </c>
      <c r="O52" s="9"/>
      <c r="P52" s="10">
        <f t="shared" ref="P52:P57" si="50">P$49/$F52</f>
        <v>127.70562770562771</v>
      </c>
    </row>
    <row r="53" spans="1:16">
      <c r="A53" s="341"/>
      <c r="B53" s="317"/>
      <c r="C53" s="150">
        <v>10</v>
      </c>
      <c r="D53" s="150">
        <v>21</v>
      </c>
      <c r="E53" s="158">
        <f t="shared" si="45"/>
        <v>2.1</v>
      </c>
      <c r="F53" s="10">
        <f t="shared" si="46"/>
        <v>9.702</v>
      </c>
      <c r="G53" s="11">
        <v>647</v>
      </c>
      <c r="H53" s="12">
        <v>48</v>
      </c>
      <c r="I53" s="12">
        <f t="shared" si="47"/>
        <v>53.569544489999998</v>
      </c>
      <c r="J53" s="12"/>
      <c r="K53" s="11"/>
      <c r="L53" s="12">
        <f t="shared" si="48"/>
        <v>352.82858744977483</v>
      </c>
      <c r="M53" s="187">
        <v>0.95</v>
      </c>
      <c r="N53" s="187">
        <f t="shared" si="49"/>
        <v>0.42003403267830336</v>
      </c>
      <c r="O53" s="9"/>
      <c r="P53" s="10">
        <f t="shared" si="50"/>
        <v>60.812203669346523</v>
      </c>
    </row>
    <row r="54" spans="1:16">
      <c r="A54" s="341"/>
      <c r="B54" s="317"/>
      <c r="C54" s="150">
        <v>10</v>
      </c>
      <c r="D54" s="150">
        <v>21</v>
      </c>
      <c r="E54" s="158">
        <f t="shared" si="45"/>
        <v>2.1</v>
      </c>
      <c r="F54" s="10">
        <f t="shared" si="46"/>
        <v>20.374200000000002</v>
      </c>
      <c r="G54" s="11">
        <v>308</v>
      </c>
      <c r="H54" s="12">
        <v>99</v>
      </c>
      <c r="I54" s="12">
        <f t="shared" si="47"/>
        <v>106.87124125755</v>
      </c>
      <c r="J54" s="12"/>
      <c r="K54" s="11"/>
      <c r="L54" s="12">
        <f t="shared" si="48"/>
        <v>335.18715807728609</v>
      </c>
      <c r="M54" s="187">
        <f>M53</f>
        <v>0.95</v>
      </c>
      <c r="N54" s="187">
        <f t="shared" si="49"/>
        <v>0.39903233104438818</v>
      </c>
      <c r="O54" s="9"/>
      <c r="P54" s="10">
        <f t="shared" si="50"/>
        <v>28.958192223498344</v>
      </c>
    </row>
    <row r="55" spans="1:16">
      <c r="A55" s="341"/>
      <c r="B55" s="317"/>
      <c r="C55" s="150">
        <v>10</v>
      </c>
      <c r="D55" s="150">
        <v>21</v>
      </c>
      <c r="E55" s="158">
        <f t="shared" si="45"/>
        <v>2.1</v>
      </c>
      <c r="F55" s="10">
        <f t="shared" si="46"/>
        <v>42.785820000000008</v>
      </c>
      <c r="G55" s="11">
        <v>147</v>
      </c>
      <c r="H55" s="12">
        <v>202</v>
      </c>
      <c r="I55" s="12">
        <f t="shared" si="47"/>
        <v>213.20812630881224</v>
      </c>
      <c r="J55" s="12"/>
      <c r="K55" s="11"/>
      <c r="L55" s="12">
        <f t="shared" si="48"/>
        <v>318.42780017342176</v>
      </c>
      <c r="M55" s="187">
        <f>M53</f>
        <v>0.95</v>
      </c>
      <c r="N55" s="187">
        <f t="shared" si="49"/>
        <v>0.37908071449216874</v>
      </c>
      <c r="O55" s="9"/>
      <c r="P55" s="10">
        <f t="shared" si="50"/>
        <v>13.789615344523019</v>
      </c>
    </row>
    <row r="56" spans="1:16">
      <c r="A56" s="341"/>
      <c r="B56" s="317"/>
      <c r="C56" s="150">
        <v>10</v>
      </c>
      <c r="D56" s="150">
        <v>21</v>
      </c>
      <c r="E56" s="158">
        <f t="shared" si="45"/>
        <v>2.1</v>
      </c>
      <c r="F56" s="10">
        <f t="shared" si="46"/>
        <v>89.850222000000016</v>
      </c>
      <c r="G56" s="11">
        <v>70</v>
      </c>
      <c r="H56" s="12">
        <v>420</v>
      </c>
      <c r="I56" s="12">
        <f t="shared" ref="I56" si="51">I55*E56*M56</f>
        <v>425.35021198608041</v>
      </c>
      <c r="J56" s="12"/>
      <c r="K56" s="11"/>
      <c r="L56" s="12">
        <f t="shared" ref="L56:L57" si="52">L55*M56</f>
        <v>302.50641016475066</v>
      </c>
      <c r="M56" s="187">
        <f>M53</f>
        <v>0.95</v>
      </c>
      <c r="N56" s="187">
        <f>N55*M56</f>
        <v>0.36012667876756027</v>
      </c>
      <c r="O56" s="9"/>
      <c r="P56" s="10">
        <f t="shared" si="50"/>
        <v>6.5664834973919142</v>
      </c>
    </row>
    <row r="57" spans="1:16" ht="15" thickBot="1">
      <c r="A57" s="342"/>
      <c r="B57" s="318"/>
      <c r="C57" s="157">
        <v>10</v>
      </c>
      <c r="D57" s="157">
        <v>21</v>
      </c>
      <c r="E57" s="158">
        <f t="shared" si="45"/>
        <v>2.1</v>
      </c>
      <c r="F57" s="10">
        <f t="shared" si="46"/>
        <v>188.68546620000004</v>
      </c>
      <c r="G57" s="11">
        <v>33</v>
      </c>
      <c r="H57" s="12">
        <v>851</v>
      </c>
      <c r="I57" s="25">
        <f>I56*E57*M57</f>
        <v>848.57367291223045</v>
      </c>
      <c r="J57" s="12"/>
      <c r="K57" s="11"/>
      <c r="L57" s="25">
        <f t="shared" si="52"/>
        <v>287.3810896565131</v>
      </c>
      <c r="M57" s="187">
        <f>M53</f>
        <v>0.95</v>
      </c>
      <c r="N57" s="188">
        <f>N56*M57</f>
        <v>0.34212034482918224</v>
      </c>
      <c r="O57" s="9"/>
      <c r="P57" s="10">
        <f t="shared" si="50"/>
        <v>3.1268969035199592</v>
      </c>
    </row>
    <row r="58" spans="1:16">
      <c r="A58" s="182" t="s">
        <v>19</v>
      </c>
      <c r="B58" s="18">
        <v>903</v>
      </c>
      <c r="C58" s="149"/>
      <c r="D58" s="149"/>
      <c r="E58" s="155"/>
      <c r="F58" s="26">
        <v>1</v>
      </c>
      <c r="G58" s="20">
        <f>F66*G66</f>
        <v>6289.5155400000012</v>
      </c>
      <c r="H58" s="27"/>
      <c r="I58" s="27">
        <v>7</v>
      </c>
      <c r="J58" s="21">
        <v>3</v>
      </c>
      <c r="K58" s="20">
        <v>280</v>
      </c>
      <c r="L58" s="21">
        <f t="shared" ref="L58" si="53">9.8*2*PI()*G58/60*I58/100</f>
        <v>451.82465763868515</v>
      </c>
      <c r="M58" s="186">
        <f>L58/J58/K58</f>
        <v>0.53788649718891091</v>
      </c>
      <c r="N58" s="186">
        <f t="shared" ref="N58" si="54">L58/J$58/K$58</f>
        <v>0.53788649718891091</v>
      </c>
      <c r="O58" s="18"/>
      <c r="P58" s="19"/>
    </row>
    <row r="59" spans="1:16">
      <c r="A59" s="340" t="s">
        <v>692</v>
      </c>
      <c r="B59" s="316">
        <v>70190</v>
      </c>
      <c r="C59" s="160">
        <v>9</v>
      </c>
      <c r="D59" s="160">
        <v>14</v>
      </c>
      <c r="E59" s="158">
        <f t="shared" ref="E59:E66" si="55">D59/C59</f>
        <v>1.5555555555555556</v>
      </c>
      <c r="F59" s="10">
        <f t="shared" ref="F59:F66" si="56">F58*E59</f>
        <v>1.5555555555555556</v>
      </c>
      <c r="G59" s="162"/>
      <c r="H59" s="174"/>
      <c r="I59" s="12">
        <f t="shared" ref="I59:I64" si="57">I58*E59*M59</f>
        <v>10.344444444444445</v>
      </c>
      <c r="J59" s="163"/>
      <c r="K59" s="162"/>
      <c r="L59" s="12">
        <f t="shared" ref="L59:L64" si="58">L58*M59</f>
        <v>429.23342475675088</v>
      </c>
      <c r="M59" s="187">
        <v>0.95</v>
      </c>
      <c r="N59" s="187">
        <f t="shared" ref="N59:N64" si="59">N58*M59</f>
        <v>0.51099217232946537</v>
      </c>
      <c r="O59" s="164" t="s">
        <v>689</v>
      </c>
      <c r="P59" s="161"/>
    </row>
    <row r="60" spans="1:16">
      <c r="A60" s="341"/>
      <c r="B60" s="317"/>
      <c r="C60" s="166">
        <v>10</v>
      </c>
      <c r="D60" s="166">
        <v>22</v>
      </c>
      <c r="E60" s="158">
        <f t="shared" si="55"/>
        <v>2.2000000000000002</v>
      </c>
      <c r="F60" s="10">
        <f t="shared" si="56"/>
        <v>3.4222222222222225</v>
      </c>
      <c r="G60" s="162"/>
      <c r="H60" s="174"/>
      <c r="I60" s="12">
        <f t="shared" si="57"/>
        <v>21.164733333333338</v>
      </c>
      <c r="J60" s="163"/>
      <c r="K60" s="162"/>
      <c r="L60" s="12">
        <f t="shared" si="58"/>
        <v>399.18708502377837</v>
      </c>
      <c r="M60" s="187">
        <v>0.93</v>
      </c>
      <c r="N60" s="187">
        <f t="shared" si="59"/>
        <v>0.47522272026640283</v>
      </c>
      <c r="O60" s="164" t="s">
        <v>690</v>
      </c>
      <c r="P60" s="161"/>
    </row>
    <row r="61" spans="1:16">
      <c r="A61" s="341"/>
      <c r="B61" s="317"/>
      <c r="C61" s="157">
        <v>14</v>
      </c>
      <c r="D61" s="157">
        <v>21</v>
      </c>
      <c r="E61" s="158">
        <f t="shared" si="55"/>
        <v>1.5</v>
      </c>
      <c r="F61" s="10">
        <f t="shared" si="56"/>
        <v>5.1333333333333337</v>
      </c>
      <c r="G61" s="11">
        <v>1224</v>
      </c>
      <c r="H61" s="12">
        <v>25</v>
      </c>
      <c r="I61" s="12">
        <f t="shared" si="57"/>
        <v>30.159745000000004</v>
      </c>
      <c r="J61" s="12"/>
      <c r="K61" s="11"/>
      <c r="L61" s="12">
        <f t="shared" si="58"/>
        <v>379.22773077258944</v>
      </c>
      <c r="M61" s="187">
        <v>0.95</v>
      </c>
      <c r="N61" s="187">
        <f t="shared" si="59"/>
        <v>0.45146158425308269</v>
      </c>
      <c r="O61" s="9"/>
      <c r="P61" s="10">
        <f t="shared" ref="P61:P66" si="60">P$49/$F61</f>
        <v>114.93506493506493</v>
      </c>
    </row>
    <row r="62" spans="1:16">
      <c r="A62" s="341"/>
      <c r="B62" s="317"/>
      <c r="C62" s="157">
        <v>10</v>
      </c>
      <c r="D62" s="157">
        <v>21</v>
      </c>
      <c r="E62" s="158">
        <f t="shared" si="55"/>
        <v>2.1</v>
      </c>
      <c r="F62" s="10">
        <f t="shared" si="56"/>
        <v>10.780000000000001</v>
      </c>
      <c r="G62" s="11">
        <v>583</v>
      </c>
      <c r="H62" s="12">
        <v>53</v>
      </c>
      <c r="I62" s="12">
        <f t="shared" si="57"/>
        <v>60.168691275000015</v>
      </c>
      <c r="J62" s="12"/>
      <c r="K62" s="11"/>
      <c r="L62" s="12">
        <f t="shared" si="58"/>
        <v>360.26634423395996</v>
      </c>
      <c r="M62" s="187">
        <v>0.95</v>
      </c>
      <c r="N62" s="187">
        <f t="shared" si="59"/>
        <v>0.42888850504042852</v>
      </c>
      <c r="O62" s="9"/>
      <c r="P62" s="10">
        <f t="shared" si="60"/>
        <v>54.730983302411865</v>
      </c>
    </row>
    <row r="63" spans="1:16">
      <c r="A63" s="341"/>
      <c r="B63" s="317"/>
      <c r="C63" s="157">
        <v>10</v>
      </c>
      <c r="D63" s="157">
        <v>21</v>
      </c>
      <c r="E63" s="158">
        <f t="shared" si="55"/>
        <v>2.1</v>
      </c>
      <c r="F63" s="10">
        <f t="shared" si="56"/>
        <v>22.638000000000002</v>
      </c>
      <c r="G63" s="11">
        <v>277</v>
      </c>
      <c r="H63" s="12">
        <v>110</v>
      </c>
      <c r="I63" s="12">
        <f t="shared" si="57"/>
        <v>120.03653909362502</v>
      </c>
      <c r="J63" s="12"/>
      <c r="K63" s="11"/>
      <c r="L63" s="12">
        <f t="shared" si="58"/>
        <v>342.25302702226196</v>
      </c>
      <c r="M63" s="187">
        <f>M62</f>
        <v>0.95</v>
      </c>
      <c r="N63" s="187">
        <f t="shared" si="59"/>
        <v>0.40744407978840708</v>
      </c>
      <c r="O63" s="9"/>
      <c r="P63" s="10">
        <f t="shared" si="60"/>
        <v>26.062373001148508</v>
      </c>
    </row>
    <row r="64" spans="1:16">
      <c r="A64" s="341"/>
      <c r="B64" s="317"/>
      <c r="C64" s="157">
        <v>10</v>
      </c>
      <c r="D64" s="157">
        <v>21</v>
      </c>
      <c r="E64" s="158">
        <f t="shared" si="55"/>
        <v>2.1</v>
      </c>
      <c r="F64" s="10">
        <f t="shared" si="56"/>
        <v>47.539800000000007</v>
      </c>
      <c r="G64" s="11">
        <v>132</v>
      </c>
      <c r="H64" s="12">
        <v>225</v>
      </c>
      <c r="I64" s="12">
        <f t="shared" si="57"/>
        <v>239.47289549178194</v>
      </c>
      <c r="J64" s="12"/>
      <c r="K64" s="11"/>
      <c r="L64" s="12">
        <f t="shared" si="58"/>
        <v>325.14037567114883</v>
      </c>
      <c r="M64" s="187">
        <f>M62</f>
        <v>0.95</v>
      </c>
      <c r="N64" s="187">
        <f t="shared" si="59"/>
        <v>0.38707187579898672</v>
      </c>
      <c r="O64" s="9"/>
      <c r="P64" s="10">
        <f t="shared" si="60"/>
        <v>12.410653810070718</v>
      </c>
    </row>
    <row r="65" spans="1:16">
      <c r="A65" s="341"/>
      <c r="B65" s="317"/>
      <c r="C65" s="157">
        <v>10</v>
      </c>
      <c r="D65" s="157">
        <v>21</v>
      </c>
      <c r="E65" s="158">
        <f t="shared" si="55"/>
        <v>2.1</v>
      </c>
      <c r="F65" s="10">
        <f t="shared" si="56"/>
        <v>99.833580000000012</v>
      </c>
      <c r="G65" s="11">
        <v>63</v>
      </c>
      <c r="H65" s="12">
        <v>467</v>
      </c>
      <c r="I65" s="12">
        <f t="shared" ref="I65" si="61">I64*E65*M65</f>
        <v>477.74842650610498</v>
      </c>
      <c r="J65" s="12"/>
      <c r="K65" s="11"/>
      <c r="L65" s="12">
        <f t="shared" ref="L65:L66" si="62">L64*M65</f>
        <v>308.88335688759139</v>
      </c>
      <c r="M65" s="187">
        <f>M62</f>
        <v>0.95</v>
      </c>
      <c r="N65" s="187">
        <f>N64*M65</f>
        <v>0.36771828200903739</v>
      </c>
      <c r="O65" s="9"/>
      <c r="P65" s="10">
        <f t="shared" si="60"/>
        <v>5.9098351476527231</v>
      </c>
    </row>
    <row r="66" spans="1:16" ht="15" thickBot="1">
      <c r="A66" s="342"/>
      <c r="B66" s="318"/>
      <c r="C66" s="152">
        <v>10</v>
      </c>
      <c r="D66" s="152">
        <v>21</v>
      </c>
      <c r="E66" s="158">
        <f t="shared" si="55"/>
        <v>2.1</v>
      </c>
      <c r="F66" s="10">
        <f t="shared" si="56"/>
        <v>209.65051800000003</v>
      </c>
      <c r="G66" s="24">
        <v>30</v>
      </c>
      <c r="H66" s="25">
        <v>946</v>
      </c>
      <c r="I66" s="25">
        <f>I65*E66*M66</f>
        <v>953.10811087967943</v>
      </c>
      <c r="J66" s="25"/>
      <c r="K66" s="24"/>
      <c r="L66" s="25">
        <f t="shared" si="62"/>
        <v>293.4391890432118</v>
      </c>
      <c r="M66" s="187">
        <f>M62</f>
        <v>0.95</v>
      </c>
      <c r="N66" s="188">
        <f>N65*M66</f>
        <v>0.34933236790858552</v>
      </c>
      <c r="O66" s="22"/>
      <c r="P66" s="23">
        <f t="shared" si="60"/>
        <v>2.8142072131679634</v>
      </c>
    </row>
    <row r="67" spans="1:16">
      <c r="A67" s="182" t="s">
        <v>22</v>
      </c>
      <c r="B67" s="18">
        <v>1575</v>
      </c>
      <c r="C67" s="149"/>
      <c r="D67" s="149"/>
      <c r="E67" s="155"/>
      <c r="F67" s="19">
        <v>1</v>
      </c>
      <c r="G67" s="20">
        <f>F68*G68</f>
        <v>9800</v>
      </c>
      <c r="H67" s="21"/>
      <c r="I67" s="21">
        <v>25</v>
      </c>
      <c r="J67" s="21">
        <f>G67/4336+0.59*K67/1000</f>
        <v>3.0920476014760148</v>
      </c>
      <c r="K67" s="20">
        <f>I67*50+160</f>
        <v>1410</v>
      </c>
      <c r="L67" s="21">
        <f t="shared" ref="L67:L76" si="63">9.8*2*PI()*G67/60*I67/100</f>
        <v>2514.3213204230315</v>
      </c>
      <c r="M67" s="186">
        <f>L67/J67/K67</f>
        <v>0.57670736031937919</v>
      </c>
      <c r="N67" s="186">
        <f t="shared" ref="N67" si="64">L67/J$67/K$67</f>
        <v>0.57670736031937919</v>
      </c>
      <c r="O67" s="18"/>
      <c r="P67" s="19">
        <v>1000</v>
      </c>
    </row>
    <row r="68" spans="1:16">
      <c r="A68" s="325" t="s">
        <v>13</v>
      </c>
      <c r="B68" s="316">
        <v>72001</v>
      </c>
      <c r="C68" s="150">
        <v>1</v>
      </c>
      <c r="D68" s="150">
        <v>4</v>
      </c>
      <c r="E68" s="158">
        <f t="shared" ref="E68:E73" si="65">D68/C68</f>
        <v>4</v>
      </c>
      <c r="F68" s="10">
        <f>F67*E68</f>
        <v>4</v>
      </c>
      <c r="G68" s="11">
        <v>2450</v>
      </c>
      <c r="H68" s="12">
        <v>50</v>
      </c>
      <c r="I68" s="12">
        <f>I67*E68*M68</f>
        <v>50</v>
      </c>
      <c r="J68" s="12"/>
      <c r="K68" s="11"/>
      <c r="L68" s="12">
        <f t="shared" ref="L68:L73" si="66">L67*M68</f>
        <v>1257.1606602115157</v>
      </c>
      <c r="M68" s="188">
        <v>0.5</v>
      </c>
      <c r="N68" s="187">
        <f t="shared" ref="N68" si="67">N67*M68</f>
        <v>0.2883536801596896</v>
      </c>
      <c r="O68" s="9" t="s">
        <v>702</v>
      </c>
      <c r="P68" s="10">
        <f t="shared" ref="P68:P75" si="68">P$67/$F68</f>
        <v>250</v>
      </c>
    </row>
    <row r="69" spans="1:16">
      <c r="A69" s="325"/>
      <c r="B69" s="317"/>
      <c r="C69" s="157">
        <v>1</v>
      </c>
      <c r="D69" s="157">
        <v>5</v>
      </c>
      <c r="E69" s="158">
        <f t="shared" si="65"/>
        <v>5</v>
      </c>
      <c r="F69" s="10">
        <f>F67*E69</f>
        <v>5</v>
      </c>
      <c r="G69" s="11">
        <v>1960</v>
      </c>
      <c r="H69" s="12">
        <v>58</v>
      </c>
      <c r="I69" s="12">
        <f>I67*E69*M69</f>
        <v>62.5</v>
      </c>
      <c r="J69" s="12"/>
      <c r="K69" s="11"/>
      <c r="L69" s="12">
        <f t="shared" si="66"/>
        <v>628.58033010575787</v>
      </c>
      <c r="M69" s="188">
        <v>0.5</v>
      </c>
      <c r="N69" s="187">
        <f>N67*M69</f>
        <v>0.2883536801596896</v>
      </c>
      <c r="O69" s="9" t="s">
        <v>703</v>
      </c>
      <c r="P69" s="10">
        <f t="shared" si="68"/>
        <v>200</v>
      </c>
    </row>
    <row r="70" spans="1:16">
      <c r="A70" s="325"/>
      <c r="B70" s="317"/>
      <c r="C70" s="157">
        <v>1</v>
      </c>
      <c r="D70" s="157">
        <v>4</v>
      </c>
      <c r="E70" s="158">
        <f t="shared" si="65"/>
        <v>4</v>
      </c>
      <c r="F70" s="10">
        <f>F68*E70</f>
        <v>16</v>
      </c>
      <c r="G70" s="11">
        <v>612</v>
      </c>
      <c r="H70" s="12">
        <v>136</v>
      </c>
      <c r="I70" s="12">
        <f>I68*E70*M70</f>
        <v>120</v>
      </c>
      <c r="J70" s="12"/>
      <c r="K70" s="11"/>
      <c r="L70" s="12">
        <f t="shared" si="66"/>
        <v>377.14819806345469</v>
      </c>
      <c r="M70" s="188">
        <v>0.6</v>
      </c>
      <c r="N70" s="187">
        <f>N68*M70</f>
        <v>0.17301220809581375</v>
      </c>
      <c r="O70" s="9" t="s">
        <v>704</v>
      </c>
      <c r="P70" s="10">
        <f t="shared" si="68"/>
        <v>62.5</v>
      </c>
    </row>
    <row r="71" spans="1:16">
      <c r="A71" s="325"/>
      <c r="B71" s="317"/>
      <c r="C71" s="157">
        <v>1</v>
      </c>
      <c r="D71" s="157">
        <v>5</v>
      </c>
      <c r="E71" s="158">
        <f t="shared" si="65"/>
        <v>5</v>
      </c>
      <c r="F71" s="10">
        <f>F68*E71</f>
        <v>20</v>
      </c>
      <c r="G71" s="11">
        <v>490</v>
      </c>
      <c r="H71" s="12">
        <v>156</v>
      </c>
      <c r="I71" s="12">
        <f>I68*E71*M71</f>
        <v>150</v>
      </c>
      <c r="J71" s="12"/>
      <c r="K71" s="11"/>
      <c r="L71" s="12">
        <f t="shared" si="66"/>
        <v>226.28891883807282</v>
      </c>
      <c r="M71" s="188">
        <v>0.6</v>
      </c>
      <c r="N71" s="187">
        <f>N68*M71</f>
        <v>0.17301220809581375</v>
      </c>
      <c r="O71" s="9" t="s">
        <v>704</v>
      </c>
      <c r="P71" s="10">
        <f t="shared" si="68"/>
        <v>50</v>
      </c>
    </row>
    <row r="72" spans="1:16">
      <c r="A72" s="325"/>
      <c r="B72" s="317"/>
      <c r="C72" s="157">
        <v>1</v>
      </c>
      <c r="D72" s="157">
        <v>5</v>
      </c>
      <c r="E72" s="158">
        <f t="shared" si="65"/>
        <v>5</v>
      </c>
      <c r="F72" s="10">
        <f>F69*E72</f>
        <v>25</v>
      </c>
      <c r="G72" s="11">
        <v>392</v>
      </c>
      <c r="H72" s="12">
        <v>185</v>
      </c>
      <c r="I72" s="12">
        <f>I69*E72*M72</f>
        <v>187.5</v>
      </c>
      <c r="J72" s="12"/>
      <c r="K72" s="11"/>
      <c r="L72" s="12">
        <f t="shared" si="66"/>
        <v>135.77335130284368</v>
      </c>
      <c r="M72" s="188">
        <v>0.6</v>
      </c>
      <c r="N72" s="187">
        <f>N69*M72</f>
        <v>0.17301220809581375</v>
      </c>
      <c r="O72" s="9" t="s">
        <v>704</v>
      </c>
      <c r="P72" s="10">
        <f t="shared" si="68"/>
        <v>40</v>
      </c>
    </row>
    <row r="73" spans="1:16">
      <c r="A73" s="325"/>
      <c r="B73" s="317"/>
      <c r="C73" s="157">
        <v>1</v>
      </c>
      <c r="D73" s="157">
        <v>4</v>
      </c>
      <c r="E73" s="158">
        <f t="shared" si="65"/>
        <v>4</v>
      </c>
      <c r="F73" s="10">
        <f>F71*E73</f>
        <v>80</v>
      </c>
      <c r="G73" s="11">
        <v>124</v>
      </c>
      <c r="H73" s="12">
        <v>516</v>
      </c>
      <c r="I73" s="12">
        <f>I71*E73*M73</f>
        <v>420</v>
      </c>
      <c r="J73" s="12"/>
      <c r="K73" s="11"/>
      <c r="L73" s="12">
        <f t="shared" si="66"/>
        <v>95.041345911990575</v>
      </c>
      <c r="M73" s="188">
        <v>0.7</v>
      </c>
      <c r="N73" s="187">
        <f>N71*M73</f>
        <v>0.12110854566706962</v>
      </c>
      <c r="O73" s="9" t="s">
        <v>705</v>
      </c>
      <c r="P73" s="10">
        <f t="shared" si="68"/>
        <v>12.5</v>
      </c>
    </row>
    <row r="74" spans="1:16">
      <c r="A74" s="325"/>
      <c r="B74" s="317"/>
      <c r="C74" s="157">
        <v>1</v>
      </c>
      <c r="D74" s="157">
        <v>4</v>
      </c>
      <c r="E74" s="158">
        <f>D74/C74</f>
        <v>4</v>
      </c>
      <c r="F74" s="10">
        <f>F72*E74</f>
        <v>100</v>
      </c>
      <c r="G74" s="11">
        <v>98</v>
      </c>
      <c r="H74" s="12">
        <v>580</v>
      </c>
      <c r="I74" s="12">
        <f>I72*E74*M74</f>
        <v>525</v>
      </c>
      <c r="J74" s="12"/>
      <c r="K74" s="11"/>
      <c r="L74" s="12">
        <f t="shared" ref="L74:L75" si="69">L73*M74</f>
        <v>66.528942138393404</v>
      </c>
      <c r="M74" s="188">
        <v>0.7</v>
      </c>
      <c r="N74" s="187">
        <f>N72*M74</f>
        <v>0.12110854566706962</v>
      </c>
      <c r="O74" s="9" t="s">
        <v>705</v>
      </c>
      <c r="P74" s="10">
        <f t="shared" si="68"/>
        <v>10</v>
      </c>
    </row>
    <row r="75" spans="1:16" ht="15" thickBot="1">
      <c r="A75" s="326"/>
      <c r="B75" s="318"/>
      <c r="C75" s="152">
        <v>1</v>
      </c>
      <c r="D75" s="152">
        <v>4</v>
      </c>
      <c r="E75" s="156">
        <f>D75/C75</f>
        <v>4</v>
      </c>
      <c r="F75" s="23">
        <f>F74*E75</f>
        <v>400</v>
      </c>
      <c r="G75" s="24">
        <v>24</v>
      </c>
      <c r="H75" s="25">
        <v>1794</v>
      </c>
      <c r="I75" s="25">
        <f>I74*E75*M75</f>
        <v>1470</v>
      </c>
      <c r="J75" s="25"/>
      <c r="K75" s="24"/>
      <c r="L75" s="25">
        <f t="shared" si="69"/>
        <v>46.57025949687538</v>
      </c>
      <c r="M75" s="189">
        <v>0.7</v>
      </c>
      <c r="N75" s="188">
        <f>N74*M75</f>
        <v>8.477598196694873E-2</v>
      </c>
      <c r="O75" s="22" t="s">
        <v>706</v>
      </c>
      <c r="P75" s="23">
        <f t="shared" si="68"/>
        <v>2.5</v>
      </c>
    </row>
    <row r="76" spans="1:16">
      <c r="A76" s="182" t="s">
        <v>21</v>
      </c>
      <c r="B76" s="18">
        <v>1029</v>
      </c>
      <c r="C76" s="149"/>
      <c r="D76" s="149"/>
      <c r="E76" s="155"/>
      <c r="F76" s="19">
        <v>1</v>
      </c>
      <c r="G76" s="20">
        <f>F79*G79</f>
        <v>10098</v>
      </c>
      <c r="H76" s="21"/>
      <c r="I76" s="21">
        <v>16</v>
      </c>
      <c r="J76" s="21">
        <f>G76/4336+0.59*K76/1000</f>
        <v>2.8952745387453875</v>
      </c>
      <c r="K76" s="20">
        <f>I76*50+160</f>
        <v>960</v>
      </c>
      <c r="L76" s="21">
        <f t="shared" si="63"/>
        <v>1658.0974167269731</v>
      </c>
      <c r="M76" s="186">
        <f>L76/J76/K76</f>
        <v>0.59655303356449219</v>
      </c>
      <c r="N76" s="186">
        <f>L76/J$76/K$76</f>
        <v>0.59655303356449219</v>
      </c>
      <c r="O76" s="18"/>
      <c r="P76" s="19">
        <v>1000</v>
      </c>
    </row>
    <row r="77" spans="1:16">
      <c r="A77" s="319" t="s">
        <v>693</v>
      </c>
      <c r="B77" s="316">
        <v>72002</v>
      </c>
      <c r="C77" s="165">
        <v>8</v>
      </c>
      <c r="D77" s="165">
        <v>36</v>
      </c>
      <c r="E77" s="158">
        <f>D77/C77</f>
        <v>4.5</v>
      </c>
      <c r="F77" s="10">
        <f>F76*E77</f>
        <v>4.5</v>
      </c>
      <c r="G77" s="162"/>
      <c r="H77" s="163"/>
      <c r="I77" s="12">
        <f>I76*E77*M77</f>
        <v>66.240000000000009</v>
      </c>
      <c r="J77" s="163"/>
      <c r="K77" s="162"/>
      <c r="L77" s="12">
        <f t="shared" ref="L77:L79" si="70">L76*M77</f>
        <v>1525.4496233888153</v>
      </c>
      <c r="M77" s="187">
        <v>0.92</v>
      </c>
      <c r="N77" s="187">
        <f>N76*M77</f>
        <v>0.54882879087933278</v>
      </c>
      <c r="O77" s="164"/>
      <c r="P77" s="161"/>
    </row>
    <row r="78" spans="1:16">
      <c r="A78" s="320"/>
      <c r="B78" s="317"/>
      <c r="C78" s="166">
        <v>14</v>
      </c>
      <c r="D78" s="166">
        <v>36</v>
      </c>
      <c r="E78" s="158">
        <f>D78/C78</f>
        <v>2.5714285714285716</v>
      </c>
      <c r="F78" s="10">
        <f>F77*E78</f>
        <v>11.571428571428573</v>
      </c>
      <c r="G78" s="176">
        <v>870</v>
      </c>
      <c r="H78" s="177">
        <v>161</v>
      </c>
      <c r="I78" s="12">
        <f>I77*E78*M78</f>
        <v>161.81485714285716</v>
      </c>
      <c r="J78" s="177"/>
      <c r="K78" s="176"/>
      <c r="L78" s="12">
        <f t="shared" si="70"/>
        <v>1449.1771422193744</v>
      </c>
      <c r="M78" s="187">
        <v>0.95</v>
      </c>
      <c r="N78" s="187">
        <f>N77*M78</f>
        <v>0.52138735133536607</v>
      </c>
      <c r="O78" s="9" t="s">
        <v>694</v>
      </c>
      <c r="P78" s="179">
        <f>P$76/$F78</f>
        <v>86.419753086419746</v>
      </c>
    </row>
    <row r="79" spans="1:16" ht="15" thickBot="1">
      <c r="A79" s="312"/>
      <c r="B79" s="318"/>
      <c r="C79" s="152">
        <v>10</v>
      </c>
      <c r="D79" s="152">
        <v>40</v>
      </c>
      <c r="E79" s="156">
        <f>D79/C79</f>
        <v>4</v>
      </c>
      <c r="F79" s="23">
        <f>F77*E79</f>
        <v>18</v>
      </c>
      <c r="G79" s="24">
        <v>561</v>
      </c>
      <c r="H79" s="25">
        <v>234</v>
      </c>
      <c r="I79" s="25">
        <f>I77*E79*M79</f>
        <v>238.46400000000003</v>
      </c>
      <c r="J79" s="25"/>
      <c r="K79" s="24"/>
      <c r="L79" s="25">
        <f t="shared" si="70"/>
        <v>1304.2594279974371</v>
      </c>
      <c r="M79" s="189">
        <v>0.9</v>
      </c>
      <c r="N79" s="188">
        <f>N77*M79</f>
        <v>0.49394591179139952</v>
      </c>
      <c r="O79" s="9" t="s">
        <v>695</v>
      </c>
      <c r="P79" s="23">
        <f>P$76/$F79</f>
        <v>55.555555555555557</v>
      </c>
    </row>
    <row r="80" spans="1:16">
      <c r="A80" s="182" t="s">
        <v>21</v>
      </c>
      <c r="B80" s="18">
        <v>1029</v>
      </c>
      <c r="C80" s="149"/>
      <c r="D80" s="149"/>
      <c r="E80" s="155"/>
      <c r="F80" s="19">
        <v>1</v>
      </c>
      <c r="G80" s="20">
        <f>F84*G84</f>
        <v>10108.799999999999</v>
      </c>
      <c r="H80" s="21"/>
      <c r="I80" s="21">
        <v>16</v>
      </c>
      <c r="J80" s="21">
        <f>G80/4336+0.59*K80/1000</f>
        <v>2.8977653136531361</v>
      </c>
      <c r="K80" s="20">
        <f>I80*50+160</f>
        <v>960</v>
      </c>
      <c r="L80" s="21">
        <f>9.8*2*PI()*G80/60*I80/100</f>
        <v>1659.8707829480711</v>
      </c>
      <c r="M80" s="186">
        <f>L80/J80/K80</f>
        <v>0.59667774247430772</v>
      </c>
      <c r="N80" s="186">
        <f>L80/J$80/K$80</f>
        <v>0.59667774247430772</v>
      </c>
      <c r="O80" s="18"/>
      <c r="P80" s="19">
        <v>1000</v>
      </c>
    </row>
    <row r="81" spans="1:16">
      <c r="A81" s="319" t="s">
        <v>696</v>
      </c>
      <c r="B81" s="316">
        <v>72003</v>
      </c>
      <c r="C81" s="165">
        <v>8</v>
      </c>
      <c r="D81" s="165">
        <v>36</v>
      </c>
      <c r="E81" s="158">
        <f>D81/C81</f>
        <v>4.5</v>
      </c>
      <c r="F81" s="10">
        <f>F80*E81</f>
        <v>4.5</v>
      </c>
      <c r="G81" s="162"/>
      <c r="H81" s="163"/>
      <c r="I81" s="12">
        <f>I80*E81*M81</f>
        <v>66.240000000000009</v>
      </c>
      <c r="J81" s="163"/>
      <c r="K81" s="162"/>
      <c r="L81" s="12">
        <f t="shared" ref="L81:L84" si="71">L80*M81</f>
        <v>1527.0811203122255</v>
      </c>
      <c r="M81" s="187">
        <v>0.92</v>
      </c>
      <c r="N81" s="187">
        <f>N80*M81</f>
        <v>0.54894352307636307</v>
      </c>
      <c r="O81" s="164"/>
      <c r="P81" s="161"/>
    </row>
    <row r="82" spans="1:16" ht="13.95" customHeight="1">
      <c r="A82" s="320"/>
      <c r="B82" s="317"/>
      <c r="C82" s="165">
        <v>10</v>
      </c>
      <c r="D82" s="165">
        <v>36</v>
      </c>
      <c r="E82" s="158">
        <f>D82/C82</f>
        <v>3.6</v>
      </c>
      <c r="F82" s="10">
        <f>F81*E82</f>
        <v>16.2</v>
      </c>
      <c r="G82" s="11"/>
      <c r="H82" s="12"/>
      <c r="I82" s="12">
        <f>I81*E82*M82</f>
        <v>219.38688000000005</v>
      </c>
      <c r="J82" s="12"/>
      <c r="K82" s="11"/>
      <c r="L82" s="12">
        <f t="shared" si="71"/>
        <v>1404.9146306872476</v>
      </c>
      <c r="M82" s="187">
        <f>M81</f>
        <v>0.92</v>
      </c>
      <c r="N82" s="187">
        <f>N81*M82</f>
        <v>0.50502804123025402</v>
      </c>
      <c r="O82" s="9"/>
      <c r="P82" s="10"/>
    </row>
    <row r="83" spans="1:16" ht="13.95" customHeight="1">
      <c r="A83" s="320"/>
      <c r="B83" s="317"/>
      <c r="C83" s="166">
        <v>14</v>
      </c>
      <c r="D83" s="166">
        <v>36</v>
      </c>
      <c r="E83" s="158">
        <f>D83/C83</f>
        <v>2.5714285714285716</v>
      </c>
      <c r="F83" s="10">
        <f>F82*E83</f>
        <v>41.657142857142858</v>
      </c>
      <c r="G83" s="180">
        <v>242</v>
      </c>
      <c r="H83" s="178">
        <v>532</v>
      </c>
      <c r="I83" s="12">
        <f>I82*E83*M83</f>
        <v>535.9308068571429</v>
      </c>
      <c r="J83" s="178"/>
      <c r="K83" s="180"/>
      <c r="L83" s="12">
        <f t="shared" si="71"/>
        <v>1334.6688991528852</v>
      </c>
      <c r="M83" s="187">
        <v>0.95</v>
      </c>
      <c r="N83" s="187">
        <f>N82*M83</f>
        <v>0.4797766391687413</v>
      </c>
      <c r="O83" s="9" t="s">
        <v>694</v>
      </c>
      <c r="P83" s="175">
        <f>P$80/$F83</f>
        <v>24.005486968449929</v>
      </c>
    </row>
    <row r="84" spans="1:16" ht="15" thickBot="1">
      <c r="A84" s="321"/>
      <c r="B84" s="318"/>
      <c r="C84" s="152">
        <v>10</v>
      </c>
      <c r="D84" s="152">
        <v>40</v>
      </c>
      <c r="E84" s="156">
        <f>D84/C84</f>
        <v>4</v>
      </c>
      <c r="F84" s="23">
        <f>F82*E84</f>
        <v>64.8</v>
      </c>
      <c r="G84" s="24">
        <v>156</v>
      </c>
      <c r="H84" s="25">
        <v>784</v>
      </c>
      <c r="I84" s="25">
        <f>I82*E84*M84</f>
        <v>789.79276800000014</v>
      </c>
      <c r="J84" s="25"/>
      <c r="K84" s="24"/>
      <c r="L84" s="25">
        <f t="shared" si="71"/>
        <v>1201.2020092375967</v>
      </c>
      <c r="M84" s="188">
        <v>0.9</v>
      </c>
      <c r="N84" s="188">
        <f>N82*M84</f>
        <v>0.45452523710722864</v>
      </c>
      <c r="O84" s="9" t="s">
        <v>695</v>
      </c>
      <c r="P84" s="23">
        <f>P$80/$F84</f>
        <v>15.4320987654321</v>
      </c>
    </row>
    <row r="85" spans="1:16">
      <c r="A85" s="182" t="s">
        <v>21</v>
      </c>
      <c r="B85" s="18">
        <v>1029</v>
      </c>
      <c r="C85" s="149"/>
      <c r="D85" s="149"/>
      <c r="E85" s="155"/>
      <c r="F85" s="19">
        <v>1</v>
      </c>
      <c r="G85" s="20">
        <f>F89*G89</f>
        <v>10080</v>
      </c>
      <c r="H85" s="21"/>
      <c r="I85" s="21">
        <v>16</v>
      </c>
      <c r="J85" s="21">
        <f>G85/4336+0.59*K85/1000</f>
        <v>2.8911232472324722</v>
      </c>
      <c r="K85" s="20">
        <f>I85*50+160</f>
        <v>960</v>
      </c>
      <c r="L85" s="21">
        <f>9.8*2*PI()*G85/60*I85/100</f>
        <v>1655.1418063584756</v>
      </c>
      <c r="M85" s="186">
        <f>L85/J85/K85</f>
        <v>0.59634470787105986</v>
      </c>
      <c r="N85" s="186">
        <f>L85/J$85/K$85</f>
        <v>0.59634470787105986</v>
      </c>
      <c r="O85" s="18"/>
      <c r="P85" s="19">
        <v>1000</v>
      </c>
    </row>
    <row r="86" spans="1:16">
      <c r="A86" s="345" t="s">
        <v>701</v>
      </c>
      <c r="B86" s="316">
        <v>72004</v>
      </c>
      <c r="C86" s="165">
        <v>1</v>
      </c>
      <c r="D86" s="165">
        <v>28</v>
      </c>
      <c r="E86" s="158">
        <f>D86/C86</f>
        <v>28</v>
      </c>
      <c r="F86" s="10">
        <f>F85*E86</f>
        <v>28</v>
      </c>
      <c r="G86" s="162"/>
      <c r="H86" s="163"/>
      <c r="I86" s="12">
        <f>I85*E86*M86</f>
        <v>201.6</v>
      </c>
      <c r="J86" s="163"/>
      <c r="K86" s="162"/>
      <c r="L86" s="12">
        <f t="shared" ref="L86:L89" si="72">L85*M86</f>
        <v>744.81381286131409</v>
      </c>
      <c r="M86" s="187">
        <v>0.45</v>
      </c>
      <c r="N86" s="187">
        <f>N85*M86</f>
        <v>0.26835511854197697</v>
      </c>
      <c r="O86" s="164"/>
      <c r="P86" s="161"/>
    </row>
    <row r="87" spans="1:16">
      <c r="A87" s="346"/>
      <c r="B87" s="317"/>
      <c r="C87" s="165">
        <v>12</v>
      </c>
      <c r="D87" s="165">
        <v>36</v>
      </c>
      <c r="E87" s="158">
        <f>D87/C87</f>
        <v>3</v>
      </c>
      <c r="F87" s="10">
        <f>F86*E87</f>
        <v>84</v>
      </c>
      <c r="G87" s="11"/>
      <c r="H87" s="12"/>
      <c r="I87" s="12">
        <f>I86*E87*M87</f>
        <v>574.55999999999995</v>
      </c>
      <c r="J87" s="12"/>
      <c r="K87" s="11"/>
      <c r="L87" s="12">
        <f t="shared" si="72"/>
        <v>707.57312221824839</v>
      </c>
      <c r="M87" s="187">
        <v>0.95</v>
      </c>
      <c r="N87" s="187">
        <f>N86*M87</f>
        <v>0.25493736261487809</v>
      </c>
      <c r="O87" s="9"/>
      <c r="P87" s="10"/>
    </row>
    <row r="88" spans="1:16">
      <c r="A88" s="346"/>
      <c r="B88" s="317"/>
      <c r="C88" s="166">
        <v>14</v>
      </c>
      <c r="D88" s="166">
        <v>36</v>
      </c>
      <c r="E88" s="158">
        <f>D88/C88</f>
        <v>2.5714285714285716</v>
      </c>
      <c r="F88" s="10">
        <f>F87*E88</f>
        <v>216.00000000000003</v>
      </c>
      <c r="G88" s="180">
        <v>46</v>
      </c>
      <c r="H88" s="178">
        <v>1468</v>
      </c>
      <c r="I88" s="12">
        <f>I87*E88*M88</f>
        <v>1403.568</v>
      </c>
      <c r="J88" s="178"/>
      <c r="K88" s="180"/>
      <c r="L88" s="12">
        <f t="shared" si="72"/>
        <v>672.19446610733598</v>
      </c>
      <c r="M88" s="187">
        <v>0.95</v>
      </c>
      <c r="N88" s="187">
        <f>N87*M88</f>
        <v>0.24219049448413418</v>
      </c>
      <c r="O88" s="9" t="s">
        <v>694</v>
      </c>
      <c r="P88" s="175">
        <f>P$85/$F88</f>
        <v>4.6296296296296289</v>
      </c>
    </row>
    <row r="89" spans="1:16" ht="15" thickBot="1">
      <c r="A89" s="347"/>
      <c r="B89" s="318"/>
      <c r="C89" s="152">
        <v>10</v>
      </c>
      <c r="D89" s="152">
        <v>40</v>
      </c>
      <c r="E89" s="156">
        <f>D89/C89</f>
        <v>4</v>
      </c>
      <c r="F89" s="159">
        <f>F87*E89</f>
        <v>336</v>
      </c>
      <c r="G89" s="24">
        <v>30</v>
      </c>
      <c r="H89" s="25">
        <v>2072</v>
      </c>
      <c r="I89" s="25">
        <f>I87*E89*M89</f>
        <v>2068.4159999999997</v>
      </c>
      <c r="J89" s="25"/>
      <c r="K89" s="24"/>
      <c r="L89" s="25">
        <f t="shared" si="72"/>
        <v>604.97501949660239</v>
      </c>
      <c r="M89" s="188">
        <v>0.9</v>
      </c>
      <c r="N89" s="188">
        <f>N87*M89</f>
        <v>0.2294436263533903</v>
      </c>
      <c r="O89" s="9" t="s">
        <v>695</v>
      </c>
      <c r="P89" s="23">
        <f>P$85/$F89</f>
        <v>2.9761904761904763</v>
      </c>
    </row>
    <row r="90" spans="1:16">
      <c r="A90" s="182" t="s">
        <v>21</v>
      </c>
      <c r="B90" s="18">
        <v>1260</v>
      </c>
      <c r="C90" s="149"/>
      <c r="D90" s="149"/>
      <c r="E90" s="155"/>
      <c r="F90" s="19">
        <v>1</v>
      </c>
      <c r="G90" s="20">
        <f>F92*G92</f>
        <v>10067.142857142859</v>
      </c>
      <c r="H90" s="21"/>
      <c r="I90" s="21">
        <v>16</v>
      </c>
      <c r="J90" s="21">
        <f>G90/4336+0.59*K90/1000</f>
        <v>2.8881580390089621</v>
      </c>
      <c r="K90" s="20">
        <f>I90*50+160</f>
        <v>960</v>
      </c>
      <c r="L90" s="21">
        <f>9.8*2*PI()*G90/60*I90/100</f>
        <v>1653.0306560952636</v>
      </c>
      <c r="M90" s="186">
        <f>L90/J90/K90</f>
        <v>0.59619553714706641</v>
      </c>
      <c r="N90" s="186">
        <f t="shared" ref="N90" si="73">L90/J$90/K$90</f>
        <v>0.59619553714706641</v>
      </c>
      <c r="O90" s="18"/>
      <c r="P90" s="19">
        <v>1000</v>
      </c>
    </row>
    <row r="91" spans="1:16">
      <c r="A91" s="310" t="s">
        <v>721</v>
      </c>
      <c r="B91" s="316">
        <v>72005</v>
      </c>
      <c r="C91" s="165">
        <v>8</v>
      </c>
      <c r="D91" s="165">
        <v>36</v>
      </c>
      <c r="E91" s="158">
        <f>D91/C91</f>
        <v>4.5</v>
      </c>
      <c r="F91" s="10">
        <f t="shared" ref="F91:F97" si="74">F90*E91</f>
        <v>4.5</v>
      </c>
      <c r="G91" s="162"/>
      <c r="H91" s="163"/>
      <c r="I91" s="12">
        <f t="shared" ref="I91:I97" si="75">I90*E91*M91</f>
        <v>66.240000000000009</v>
      </c>
      <c r="J91" s="163"/>
      <c r="K91" s="162"/>
      <c r="L91" s="12">
        <f t="shared" ref="L91:L95" si="76">L90*M91</f>
        <v>1520.7882036076426</v>
      </c>
      <c r="M91" s="187">
        <v>0.92</v>
      </c>
      <c r="N91" s="187">
        <f t="shared" ref="N91:N95" si="77">N90*M91</f>
        <v>0.54849989417530109</v>
      </c>
      <c r="O91" s="164"/>
      <c r="P91" s="161"/>
    </row>
    <row r="92" spans="1:16">
      <c r="A92" s="311"/>
      <c r="B92" s="317"/>
      <c r="C92" s="157">
        <v>14</v>
      </c>
      <c r="D92" s="157">
        <v>36</v>
      </c>
      <c r="E92" s="158">
        <f t="shared" ref="E92:E96" si="78">D92/C92</f>
        <v>2.5714285714285716</v>
      </c>
      <c r="F92" s="10">
        <f t="shared" si="74"/>
        <v>11.571428571428573</v>
      </c>
      <c r="G92" s="11">
        <v>870</v>
      </c>
      <c r="H92" s="12">
        <v>161</v>
      </c>
      <c r="I92" s="12">
        <f t="shared" si="75"/>
        <v>161.81485714285716</v>
      </c>
      <c r="J92" s="12"/>
      <c r="K92" s="11"/>
      <c r="L92" s="12">
        <f t="shared" si="76"/>
        <v>1444.7487934272604</v>
      </c>
      <c r="M92" s="187">
        <v>0.95</v>
      </c>
      <c r="N92" s="187">
        <f t="shared" si="77"/>
        <v>0.52107489946653607</v>
      </c>
      <c r="O92" s="9"/>
      <c r="P92" s="10">
        <f t="shared" ref="P92:P97" si="79">P$90/$F92</f>
        <v>86.419753086419746</v>
      </c>
    </row>
    <row r="93" spans="1:16">
      <c r="A93" s="311"/>
      <c r="B93" s="317"/>
      <c r="C93" s="157">
        <v>14</v>
      </c>
      <c r="D93" s="157">
        <v>36</v>
      </c>
      <c r="E93" s="158">
        <f t="shared" si="78"/>
        <v>2.5714285714285716</v>
      </c>
      <c r="F93" s="10">
        <f t="shared" si="74"/>
        <v>29.755102040816332</v>
      </c>
      <c r="G93" s="11">
        <v>338</v>
      </c>
      <c r="H93" s="12">
        <v>415</v>
      </c>
      <c r="I93" s="12">
        <f t="shared" si="75"/>
        <v>395.29057959183683</v>
      </c>
      <c r="J93" s="12"/>
      <c r="K93" s="11"/>
      <c r="L93" s="12">
        <f t="shared" si="76"/>
        <v>1372.5113537558973</v>
      </c>
      <c r="M93" s="187">
        <v>0.95</v>
      </c>
      <c r="N93" s="187">
        <f t="shared" si="77"/>
        <v>0.49502115449320921</v>
      </c>
      <c r="O93" s="9"/>
      <c r="P93" s="10">
        <f t="shared" si="79"/>
        <v>33.607681755829894</v>
      </c>
    </row>
    <row r="94" spans="1:16">
      <c r="A94" s="311"/>
      <c r="B94" s="317"/>
      <c r="C94" s="157">
        <v>14</v>
      </c>
      <c r="D94" s="157">
        <v>36</v>
      </c>
      <c r="E94" s="158">
        <f t="shared" si="78"/>
        <v>2.5714285714285716</v>
      </c>
      <c r="F94" s="10">
        <f t="shared" si="74"/>
        <v>76.513119533527714</v>
      </c>
      <c r="G94" s="11">
        <v>132</v>
      </c>
      <c r="H94" s="12">
        <v>1032</v>
      </c>
      <c r="I94" s="12">
        <f t="shared" si="75"/>
        <v>965.63841586005856</v>
      </c>
      <c r="J94" s="12"/>
      <c r="K94" s="11"/>
      <c r="L94" s="12">
        <f t="shared" si="76"/>
        <v>1303.8857860681023</v>
      </c>
      <c r="M94" s="187">
        <v>0.95</v>
      </c>
      <c r="N94" s="187">
        <f t="shared" si="77"/>
        <v>0.47027009676854875</v>
      </c>
      <c r="O94" s="9"/>
      <c r="P94" s="10">
        <f t="shared" si="79"/>
        <v>13.06965401615607</v>
      </c>
    </row>
    <row r="95" spans="1:16">
      <c r="A95" s="311"/>
      <c r="B95" s="317"/>
      <c r="C95" s="157">
        <v>14</v>
      </c>
      <c r="D95" s="157">
        <v>36</v>
      </c>
      <c r="E95" s="158">
        <f t="shared" si="78"/>
        <v>2.5714285714285716</v>
      </c>
      <c r="F95" s="10">
        <f t="shared" si="74"/>
        <v>196.74802165764271</v>
      </c>
      <c r="G95" s="11">
        <v>51.3</v>
      </c>
      <c r="H95" s="12">
        <v>2400</v>
      </c>
      <c r="I95" s="12">
        <f t="shared" si="75"/>
        <v>2358.9167016010006</v>
      </c>
      <c r="J95" s="12"/>
      <c r="K95" s="11"/>
      <c r="L95" s="12">
        <f t="shared" si="76"/>
        <v>1238.6914967646971</v>
      </c>
      <c r="M95" s="187">
        <v>0.95</v>
      </c>
      <c r="N95" s="187">
        <f t="shared" si="77"/>
        <v>0.44675659193012129</v>
      </c>
      <c r="O95" s="9"/>
      <c r="P95" s="10">
        <f t="shared" si="79"/>
        <v>5.0826432285051384</v>
      </c>
    </row>
    <row r="96" spans="1:16">
      <c r="A96" s="311"/>
      <c r="B96" s="317"/>
      <c r="C96" s="157">
        <v>14</v>
      </c>
      <c r="D96" s="157">
        <v>36</v>
      </c>
      <c r="E96" s="158">
        <f t="shared" si="78"/>
        <v>2.5714285714285716</v>
      </c>
      <c r="F96" s="10">
        <f t="shared" si="74"/>
        <v>505.92348426250987</v>
      </c>
      <c r="G96" s="11">
        <v>19.899999999999999</v>
      </c>
      <c r="H96" s="12">
        <v>2306</v>
      </c>
      <c r="I96" s="12">
        <f t="shared" si="75"/>
        <v>5762.4965139110163</v>
      </c>
      <c r="J96" s="12"/>
      <c r="K96" s="11"/>
      <c r="L96" s="12">
        <f t="shared" ref="L96:L97" si="80">L95*M96</f>
        <v>1176.7569219264622</v>
      </c>
      <c r="M96" s="187">
        <v>0.95</v>
      </c>
      <c r="N96" s="187">
        <f>N95*M96</f>
        <v>0.4244187623336152</v>
      </c>
      <c r="O96" s="9" t="s">
        <v>24</v>
      </c>
      <c r="P96" s="10">
        <f t="shared" si="79"/>
        <v>1.9765834777519979</v>
      </c>
    </row>
    <row r="97" spans="1:16" ht="15" thickBot="1">
      <c r="A97" s="312"/>
      <c r="B97" s="318"/>
      <c r="C97" s="152">
        <v>14</v>
      </c>
      <c r="D97" s="152">
        <v>36</v>
      </c>
      <c r="E97" s="156">
        <f>D97/C97</f>
        <v>2.5714285714285716</v>
      </c>
      <c r="F97" s="23">
        <f t="shared" si="74"/>
        <v>1300.9461023893111</v>
      </c>
      <c r="G97" s="24">
        <v>7.8</v>
      </c>
      <c r="H97" s="25">
        <v>2306</v>
      </c>
      <c r="I97" s="25">
        <f t="shared" si="75"/>
        <v>14076.955769696911</v>
      </c>
      <c r="J97" s="25"/>
      <c r="K97" s="24"/>
      <c r="L97" s="25">
        <f t="shared" si="80"/>
        <v>1117.919075830139</v>
      </c>
      <c r="M97" s="188">
        <v>0.95</v>
      </c>
      <c r="N97" s="188">
        <f>N96*M97</f>
        <v>0.4031978242169344</v>
      </c>
      <c r="O97" s="22" t="s">
        <v>24</v>
      </c>
      <c r="P97" s="23">
        <f t="shared" si="79"/>
        <v>0.76867135245911034</v>
      </c>
    </row>
    <row r="98" spans="1:16">
      <c r="A98" s="182" t="s">
        <v>21</v>
      </c>
      <c r="B98" s="18">
        <v>1260</v>
      </c>
      <c r="C98" s="149"/>
      <c r="D98" s="149"/>
      <c r="E98" s="155"/>
      <c r="F98" s="19">
        <v>1</v>
      </c>
      <c r="G98" s="20">
        <f>F100*G100</f>
        <v>3915</v>
      </c>
      <c r="H98" s="21"/>
      <c r="I98" s="21">
        <v>16</v>
      </c>
      <c r="J98" s="21">
        <f>G98/4336+0.59*K98/1000</f>
        <v>1.4693059040590406</v>
      </c>
      <c r="K98" s="20">
        <f>I98*50+160</f>
        <v>960</v>
      </c>
      <c r="L98" s="21">
        <f>9.8*2*PI()*G98/60*I98/100</f>
        <v>642.84525514815789</v>
      </c>
      <c r="M98" s="186">
        <f>L98/J98/K98</f>
        <v>0.45574612629185823</v>
      </c>
      <c r="N98" s="186">
        <f t="shared" ref="N98" si="81">L98/J$90/K$90</f>
        <v>0.2318538200016369</v>
      </c>
      <c r="O98" s="18"/>
      <c r="P98" s="19">
        <v>1000</v>
      </c>
    </row>
    <row r="99" spans="1:16">
      <c r="A99" s="322" t="s">
        <v>835</v>
      </c>
      <c r="B99" s="316">
        <v>72005</v>
      </c>
      <c r="C99" s="165">
        <v>16</v>
      </c>
      <c r="D99" s="165">
        <v>28</v>
      </c>
      <c r="E99" s="158">
        <f>D99/C99</f>
        <v>1.75</v>
      </c>
      <c r="F99" s="10">
        <f t="shared" ref="F99:F105" si="82">F98*E99</f>
        <v>1.75</v>
      </c>
      <c r="G99" s="162"/>
      <c r="H99" s="163"/>
      <c r="I99" s="12">
        <f t="shared" ref="I99:I105" si="83">I98*E99*M99</f>
        <v>25.76</v>
      </c>
      <c r="J99" s="163"/>
      <c r="K99" s="162"/>
      <c r="L99" s="12">
        <f t="shared" ref="L99:L105" si="84">L98*M99</f>
        <v>591.41763473630533</v>
      </c>
      <c r="M99" s="187">
        <v>0.92</v>
      </c>
      <c r="N99" s="187">
        <f t="shared" ref="N99:N103" si="85">N98*M99</f>
        <v>0.21330551440150597</v>
      </c>
      <c r="O99" s="164"/>
      <c r="P99" s="161"/>
    </row>
    <row r="100" spans="1:16">
      <c r="A100" s="323"/>
      <c r="B100" s="317"/>
      <c r="C100" s="157">
        <v>14</v>
      </c>
      <c r="D100" s="157">
        <v>36</v>
      </c>
      <c r="E100" s="158">
        <f t="shared" ref="E100:E104" si="86">D100/C100</f>
        <v>2.5714285714285716</v>
      </c>
      <c r="F100" s="10">
        <f t="shared" si="82"/>
        <v>4.5</v>
      </c>
      <c r="G100" s="11">
        <v>870</v>
      </c>
      <c r="H100" s="12">
        <v>161</v>
      </c>
      <c r="I100" s="12">
        <f t="shared" si="83"/>
        <v>62.928000000000004</v>
      </c>
      <c r="J100" s="12"/>
      <c r="K100" s="11"/>
      <c r="L100" s="12">
        <f t="shared" si="84"/>
        <v>561.84675299949004</v>
      </c>
      <c r="M100" s="187">
        <v>0.95</v>
      </c>
      <c r="N100" s="187">
        <f t="shared" si="85"/>
        <v>0.20264023868143066</v>
      </c>
      <c r="O100" s="9"/>
      <c r="P100" s="10">
        <f t="shared" ref="P100:P105" si="87">P$90/$F100</f>
        <v>222.22222222222223</v>
      </c>
    </row>
    <row r="101" spans="1:16">
      <c r="A101" s="323"/>
      <c r="B101" s="317"/>
      <c r="C101" s="157">
        <v>14</v>
      </c>
      <c r="D101" s="157">
        <v>36</v>
      </c>
      <c r="E101" s="158">
        <f t="shared" si="86"/>
        <v>2.5714285714285716</v>
      </c>
      <c r="F101" s="10">
        <f t="shared" si="82"/>
        <v>11.571428571428573</v>
      </c>
      <c r="G101" s="11">
        <v>338</v>
      </c>
      <c r="H101" s="12">
        <v>415</v>
      </c>
      <c r="I101" s="12">
        <f t="shared" si="83"/>
        <v>153.72411428571431</v>
      </c>
      <c r="J101" s="12"/>
      <c r="K101" s="11"/>
      <c r="L101" s="12">
        <f t="shared" si="84"/>
        <v>533.75441534951551</v>
      </c>
      <c r="M101" s="187">
        <v>0.95</v>
      </c>
      <c r="N101" s="187">
        <f t="shared" si="85"/>
        <v>0.19250822674735912</v>
      </c>
      <c r="O101" s="9"/>
      <c r="P101" s="10">
        <f t="shared" si="87"/>
        <v>86.419753086419746</v>
      </c>
    </row>
    <row r="102" spans="1:16">
      <c r="A102" s="323"/>
      <c r="B102" s="317"/>
      <c r="C102" s="157">
        <v>14</v>
      </c>
      <c r="D102" s="157">
        <v>36</v>
      </c>
      <c r="E102" s="158">
        <f t="shared" si="86"/>
        <v>2.5714285714285716</v>
      </c>
      <c r="F102" s="10">
        <f t="shared" si="82"/>
        <v>29.755102040816332</v>
      </c>
      <c r="G102" s="11">
        <v>132</v>
      </c>
      <c r="H102" s="12">
        <v>1032</v>
      </c>
      <c r="I102" s="12">
        <f t="shared" si="83"/>
        <v>375.52605061224494</v>
      </c>
      <c r="J102" s="12"/>
      <c r="K102" s="11"/>
      <c r="L102" s="12">
        <f t="shared" si="84"/>
        <v>507.0666945820397</v>
      </c>
      <c r="M102" s="187">
        <v>0.95</v>
      </c>
      <c r="N102" s="187">
        <f t="shared" si="85"/>
        <v>0.18288281540999116</v>
      </c>
      <c r="O102" s="9"/>
      <c r="P102" s="10">
        <f t="shared" si="87"/>
        <v>33.607681755829894</v>
      </c>
    </row>
    <row r="103" spans="1:16">
      <c r="A103" s="323"/>
      <c r="B103" s="317"/>
      <c r="C103" s="157">
        <v>14</v>
      </c>
      <c r="D103" s="157">
        <v>36</v>
      </c>
      <c r="E103" s="158">
        <f t="shared" si="86"/>
        <v>2.5714285714285716</v>
      </c>
      <c r="F103" s="10">
        <f t="shared" si="82"/>
        <v>76.513119533527714</v>
      </c>
      <c r="G103" s="11">
        <v>51.3</v>
      </c>
      <c r="H103" s="12">
        <v>2400</v>
      </c>
      <c r="I103" s="12">
        <f t="shared" si="83"/>
        <v>917.35649506705545</v>
      </c>
      <c r="J103" s="12"/>
      <c r="K103" s="11"/>
      <c r="L103" s="12">
        <f t="shared" si="84"/>
        <v>481.71335985293769</v>
      </c>
      <c r="M103" s="187">
        <v>0.95</v>
      </c>
      <c r="N103" s="187">
        <f t="shared" si="85"/>
        <v>0.17373867463949158</v>
      </c>
      <c r="O103" s="9"/>
      <c r="P103" s="10">
        <f t="shared" si="87"/>
        <v>13.06965401615607</v>
      </c>
    </row>
    <row r="104" spans="1:16">
      <c r="A104" s="323"/>
      <c r="B104" s="317"/>
      <c r="C104" s="157">
        <v>14</v>
      </c>
      <c r="D104" s="157">
        <v>36</v>
      </c>
      <c r="E104" s="158">
        <f t="shared" si="86"/>
        <v>2.5714285714285716</v>
      </c>
      <c r="F104" s="10">
        <f t="shared" si="82"/>
        <v>196.74802165764271</v>
      </c>
      <c r="G104" s="11">
        <v>19.899999999999999</v>
      </c>
      <c r="H104" s="12">
        <v>2306</v>
      </c>
      <c r="I104" s="12">
        <f t="shared" si="83"/>
        <v>2240.97086652095</v>
      </c>
      <c r="J104" s="12"/>
      <c r="K104" s="11"/>
      <c r="L104" s="12">
        <f t="shared" si="84"/>
        <v>457.62769186029078</v>
      </c>
      <c r="M104" s="187">
        <v>0.95</v>
      </c>
      <c r="N104" s="187">
        <f>N103*M104</f>
        <v>0.16505174090751698</v>
      </c>
      <c r="O104" s="9" t="s">
        <v>24</v>
      </c>
      <c r="P104" s="10">
        <f t="shared" si="87"/>
        <v>5.0826432285051384</v>
      </c>
    </row>
    <row r="105" spans="1:16" ht="15" thickBot="1">
      <c r="A105" s="324"/>
      <c r="B105" s="318"/>
      <c r="C105" s="152">
        <v>14</v>
      </c>
      <c r="D105" s="152">
        <v>36</v>
      </c>
      <c r="E105" s="156">
        <f>D105/C105</f>
        <v>2.5714285714285716</v>
      </c>
      <c r="F105" s="23">
        <f t="shared" si="82"/>
        <v>505.92348426250987</v>
      </c>
      <c r="G105" s="24">
        <v>7.8</v>
      </c>
      <c r="H105" s="25">
        <v>2306</v>
      </c>
      <c r="I105" s="25">
        <f t="shared" si="83"/>
        <v>5474.3716882154631</v>
      </c>
      <c r="J105" s="25"/>
      <c r="K105" s="24"/>
      <c r="L105" s="25">
        <f t="shared" si="84"/>
        <v>434.74630726727622</v>
      </c>
      <c r="M105" s="188">
        <v>0.95</v>
      </c>
      <c r="N105" s="188">
        <f>N104*M105</f>
        <v>0.15679915386214113</v>
      </c>
      <c r="O105" s="22" t="s">
        <v>24</v>
      </c>
      <c r="P105" s="23">
        <f t="shared" si="87"/>
        <v>1.9765834777519979</v>
      </c>
    </row>
    <row r="106" spans="1:16">
      <c r="A106" s="182" t="s">
        <v>21</v>
      </c>
      <c r="B106" s="18">
        <v>1260</v>
      </c>
      <c r="C106" s="149"/>
      <c r="D106" s="149"/>
      <c r="E106" s="155"/>
      <c r="F106" s="19">
        <v>1</v>
      </c>
      <c r="G106" s="20">
        <f>F108*G108</f>
        <v>4793.8775510204086</v>
      </c>
      <c r="H106" s="21"/>
      <c r="I106" s="21">
        <v>16</v>
      </c>
      <c r="J106" s="21">
        <f>G106/4336+0.59*K106/1000</f>
        <v>1.6719990661947437</v>
      </c>
      <c r="K106" s="20">
        <f>I106*50+160</f>
        <v>960</v>
      </c>
      <c r="L106" s="21">
        <f>9.8*2*PI()*G106/60*I106/100</f>
        <v>787.15745528345883</v>
      </c>
      <c r="M106" s="186">
        <f>L106/J106/K106</f>
        <v>0.49040439026862059</v>
      </c>
      <c r="N106" s="186">
        <f t="shared" ref="N106" si="88">L106/J$90/K$90</f>
        <v>0.2839026367366983</v>
      </c>
      <c r="O106" s="18"/>
      <c r="P106" s="19">
        <v>1000</v>
      </c>
    </row>
    <row r="107" spans="1:16">
      <c r="A107" s="322" t="s">
        <v>835</v>
      </c>
      <c r="B107" s="316">
        <v>72005</v>
      </c>
      <c r="C107" s="165">
        <v>14</v>
      </c>
      <c r="D107" s="165">
        <v>30</v>
      </c>
      <c r="E107" s="158">
        <f>D107/C107</f>
        <v>2.1428571428571428</v>
      </c>
      <c r="F107" s="10">
        <f t="shared" ref="F107:F113" si="89">F106*E107</f>
        <v>2.1428571428571428</v>
      </c>
      <c r="G107" s="162"/>
      <c r="H107" s="163"/>
      <c r="I107" s="12">
        <f t="shared" ref="I107:I113" si="90">I106*E107*M107</f>
        <v>31.542857142857144</v>
      </c>
      <c r="J107" s="163"/>
      <c r="K107" s="162"/>
      <c r="L107" s="12">
        <f t="shared" ref="L107:L113" si="91">L106*M107</f>
        <v>724.18485886078213</v>
      </c>
      <c r="M107" s="187">
        <v>0.92</v>
      </c>
      <c r="N107" s="187">
        <f t="shared" ref="N107:N111" si="92">N106*M107</f>
        <v>0.26119042579776247</v>
      </c>
      <c r="O107" s="164"/>
      <c r="P107" s="161"/>
    </row>
    <row r="108" spans="1:16">
      <c r="A108" s="323"/>
      <c r="B108" s="317"/>
      <c r="C108" s="157">
        <v>14</v>
      </c>
      <c r="D108" s="157">
        <v>36</v>
      </c>
      <c r="E108" s="158">
        <f t="shared" ref="E108:E112" si="93">D108/C108</f>
        <v>2.5714285714285716</v>
      </c>
      <c r="F108" s="10">
        <f t="shared" si="89"/>
        <v>5.5102040816326534</v>
      </c>
      <c r="G108" s="11">
        <v>870</v>
      </c>
      <c r="H108" s="12">
        <v>161</v>
      </c>
      <c r="I108" s="12">
        <f t="shared" si="90"/>
        <v>77.054693877551017</v>
      </c>
      <c r="J108" s="12"/>
      <c r="K108" s="11"/>
      <c r="L108" s="12">
        <f t="shared" si="91"/>
        <v>687.97561591774297</v>
      </c>
      <c r="M108" s="187">
        <v>0.95</v>
      </c>
      <c r="N108" s="187">
        <f t="shared" si="92"/>
        <v>0.24813090450787434</v>
      </c>
      <c r="O108" s="9"/>
      <c r="P108" s="10">
        <f t="shared" ref="P108:P113" si="94">P$90/$F108</f>
        <v>181.48148148148147</v>
      </c>
    </row>
    <row r="109" spans="1:16">
      <c r="A109" s="323"/>
      <c r="B109" s="317"/>
      <c r="C109" s="157">
        <v>14</v>
      </c>
      <c r="D109" s="157">
        <v>36</v>
      </c>
      <c r="E109" s="158">
        <f t="shared" si="93"/>
        <v>2.5714285714285716</v>
      </c>
      <c r="F109" s="10">
        <f t="shared" si="89"/>
        <v>14.169096209912539</v>
      </c>
      <c r="G109" s="11">
        <v>338</v>
      </c>
      <c r="H109" s="12">
        <v>415</v>
      </c>
      <c r="I109" s="12">
        <f t="shared" si="90"/>
        <v>188.23360932944607</v>
      </c>
      <c r="J109" s="12"/>
      <c r="K109" s="11"/>
      <c r="L109" s="12">
        <f t="shared" si="91"/>
        <v>653.57683512185577</v>
      </c>
      <c r="M109" s="187">
        <v>0.95</v>
      </c>
      <c r="N109" s="187">
        <f t="shared" si="92"/>
        <v>0.23572435928248062</v>
      </c>
      <c r="O109" s="9"/>
      <c r="P109" s="10">
        <f t="shared" si="94"/>
        <v>70.576131687242793</v>
      </c>
    </row>
    <row r="110" spans="1:16">
      <c r="A110" s="323"/>
      <c r="B110" s="317"/>
      <c r="C110" s="157">
        <v>14</v>
      </c>
      <c r="D110" s="157">
        <v>36</v>
      </c>
      <c r="E110" s="158">
        <f t="shared" si="93"/>
        <v>2.5714285714285716</v>
      </c>
      <c r="F110" s="10">
        <f t="shared" si="89"/>
        <v>36.434818825489387</v>
      </c>
      <c r="G110" s="11">
        <v>132</v>
      </c>
      <c r="H110" s="12">
        <v>1032</v>
      </c>
      <c r="I110" s="12">
        <f t="shared" si="90"/>
        <v>459.82781707621825</v>
      </c>
      <c r="J110" s="12"/>
      <c r="K110" s="11"/>
      <c r="L110" s="12">
        <f t="shared" si="91"/>
        <v>620.897993365763</v>
      </c>
      <c r="M110" s="187">
        <v>0.95</v>
      </c>
      <c r="N110" s="187">
        <f t="shared" si="92"/>
        <v>0.22393814131835657</v>
      </c>
      <c r="O110" s="9"/>
      <c r="P110" s="10">
        <f t="shared" si="94"/>
        <v>27.44627343392775</v>
      </c>
    </row>
    <row r="111" spans="1:16">
      <c r="A111" s="323"/>
      <c r="B111" s="317"/>
      <c r="C111" s="157">
        <v>14</v>
      </c>
      <c r="D111" s="157">
        <v>36</v>
      </c>
      <c r="E111" s="158">
        <f t="shared" si="93"/>
        <v>2.5714285714285716</v>
      </c>
      <c r="F111" s="10">
        <f t="shared" si="89"/>
        <v>93.689534122687007</v>
      </c>
      <c r="G111" s="11">
        <v>51.3</v>
      </c>
      <c r="H111" s="12">
        <v>2400</v>
      </c>
      <c r="I111" s="12">
        <f t="shared" si="90"/>
        <v>1123.2936674290474</v>
      </c>
      <c r="J111" s="12"/>
      <c r="K111" s="11"/>
      <c r="L111" s="12">
        <f t="shared" si="91"/>
        <v>589.85309369747483</v>
      </c>
      <c r="M111" s="187">
        <v>0.95</v>
      </c>
      <c r="N111" s="187">
        <f t="shared" si="92"/>
        <v>0.21274123425243874</v>
      </c>
      <c r="O111" s="9"/>
      <c r="P111" s="10">
        <f t="shared" si="94"/>
        <v>10.67355077986079</v>
      </c>
    </row>
    <row r="112" spans="1:16">
      <c r="A112" s="323"/>
      <c r="B112" s="317"/>
      <c r="C112" s="157">
        <v>14</v>
      </c>
      <c r="D112" s="157">
        <v>36</v>
      </c>
      <c r="E112" s="158">
        <f t="shared" si="93"/>
        <v>2.5714285714285716</v>
      </c>
      <c r="F112" s="10">
        <f t="shared" si="89"/>
        <v>240.91594488690947</v>
      </c>
      <c r="G112" s="11">
        <v>19.899999999999999</v>
      </c>
      <c r="H112" s="12">
        <v>2306</v>
      </c>
      <c r="I112" s="12">
        <f t="shared" si="90"/>
        <v>2744.0459590052446</v>
      </c>
      <c r="J112" s="12"/>
      <c r="K112" s="11"/>
      <c r="L112" s="12">
        <f t="shared" si="91"/>
        <v>560.36043901260109</v>
      </c>
      <c r="M112" s="187">
        <v>0.95</v>
      </c>
      <c r="N112" s="187">
        <f>N111*M112</f>
        <v>0.2021041725398168</v>
      </c>
      <c r="O112" s="9" t="s">
        <v>24</v>
      </c>
      <c r="P112" s="10">
        <f t="shared" si="94"/>
        <v>4.1508253032791957</v>
      </c>
    </row>
    <row r="113" spans="1:16" ht="15" thickBot="1">
      <c r="A113" s="324"/>
      <c r="B113" s="318"/>
      <c r="C113" s="152">
        <v>14</v>
      </c>
      <c r="D113" s="152">
        <v>36</v>
      </c>
      <c r="E113" s="156">
        <f>D113/C113</f>
        <v>2.5714285714285716</v>
      </c>
      <c r="F113" s="23">
        <f t="shared" si="89"/>
        <v>619.49814399491015</v>
      </c>
      <c r="G113" s="24">
        <v>7.8</v>
      </c>
      <c r="H113" s="25">
        <v>2306</v>
      </c>
      <c r="I113" s="25">
        <f t="shared" si="90"/>
        <v>6703.3122712842414</v>
      </c>
      <c r="J113" s="25"/>
      <c r="K113" s="24"/>
      <c r="L113" s="25">
        <f t="shared" si="91"/>
        <v>532.34241706197099</v>
      </c>
      <c r="M113" s="188">
        <v>0.95</v>
      </c>
      <c r="N113" s="188">
        <f>N112*M113</f>
        <v>0.19199896391282595</v>
      </c>
      <c r="O113" s="22" t="s">
        <v>24</v>
      </c>
      <c r="P113" s="23">
        <f t="shared" si="94"/>
        <v>1.6142098401641314</v>
      </c>
    </row>
    <row r="114" spans="1:16">
      <c r="A114" s="182" t="s">
        <v>21</v>
      </c>
      <c r="B114" s="18">
        <v>1260</v>
      </c>
      <c r="C114" s="149"/>
      <c r="D114" s="149"/>
      <c r="E114" s="155"/>
      <c r="F114" s="19">
        <v>1</v>
      </c>
      <c r="G114" s="20">
        <f>F116*G116</f>
        <v>10022.400000000001</v>
      </c>
      <c r="H114" s="21"/>
      <c r="I114" s="21">
        <v>16</v>
      </c>
      <c r="J114" s="21">
        <f>G114/4336+0.59*K114/1000</f>
        <v>2.8778391143911444</v>
      </c>
      <c r="K114" s="20">
        <f>I114*50+160</f>
        <v>960</v>
      </c>
      <c r="L114" s="21">
        <f>9.8*2*PI()*G114/60*I114/100</f>
        <v>1645.6838531792846</v>
      </c>
      <c r="M114" s="186">
        <f>L114/J114/K114</f>
        <v>0.59567402679183512</v>
      </c>
      <c r="N114" s="186">
        <f>L114/J$90/K$90</f>
        <v>0.59354577920419049</v>
      </c>
      <c r="O114" s="18"/>
      <c r="P114" s="19">
        <v>1000</v>
      </c>
    </row>
    <row r="115" spans="1:16">
      <c r="A115" s="322" t="s">
        <v>906</v>
      </c>
      <c r="B115" s="316">
        <v>72005</v>
      </c>
      <c r="C115" s="165">
        <v>10</v>
      </c>
      <c r="D115" s="165">
        <v>32</v>
      </c>
      <c r="E115" s="158">
        <f>D115/C115</f>
        <v>3.2</v>
      </c>
      <c r="F115" s="10">
        <f t="shared" ref="F115:F121" si="95">F114*E115</f>
        <v>3.2</v>
      </c>
      <c r="G115" s="162"/>
      <c r="H115" s="163"/>
      <c r="I115" s="12">
        <f t="shared" ref="I115:I121" si="96">I114*E115*M115</f>
        <v>47.104000000000006</v>
      </c>
      <c r="J115" s="163"/>
      <c r="K115" s="162"/>
      <c r="L115" s="12">
        <f t="shared" ref="L115:L121" si="97">L114*M115</f>
        <v>1514.0291449249419</v>
      </c>
      <c r="M115" s="187">
        <v>0.92</v>
      </c>
      <c r="N115" s="187">
        <f t="shared" ref="N115:N119" si="98">N114*M115</f>
        <v>0.54606211686785533</v>
      </c>
      <c r="O115" s="164"/>
      <c r="P115" s="161"/>
    </row>
    <row r="116" spans="1:16">
      <c r="A116" s="323"/>
      <c r="B116" s="317"/>
      <c r="C116" s="157">
        <v>10</v>
      </c>
      <c r="D116" s="157">
        <v>36</v>
      </c>
      <c r="E116" s="158">
        <f t="shared" ref="E116:E120" si="99">D116/C116</f>
        <v>3.6</v>
      </c>
      <c r="F116" s="10">
        <f t="shared" si="95"/>
        <v>11.520000000000001</v>
      </c>
      <c r="G116" s="11">
        <v>870</v>
      </c>
      <c r="H116" s="12">
        <v>161</v>
      </c>
      <c r="I116" s="12">
        <f t="shared" si="96"/>
        <v>161.09568000000002</v>
      </c>
      <c r="J116" s="12"/>
      <c r="K116" s="11"/>
      <c r="L116" s="12">
        <f t="shared" si="97"/>
        <v>1438.3276876786947</v>
      </c>
      <c r="M116" s="187">
        <v>0.95</v>
      </c>
      <c r="N116" s="187">
        <f t="shared" si="98"/>
        <v>0.51875901102446254</v>
      </c>
      <c r="O116" s="9"/>
      <c r="P116" s="10">
        <f t="shared" ref="P116:P121" si="100">P$90/$F116</f>
        <v>86.805555555555543</v>
      </c>
    </row>
    <row r="117" spans="1:16">
      <c r="A117" s="323"/>
      <c r="B117" s="317"/>
      <c r="C117" s="157">
        <v>14</v>
      </c>
      <c r="D117" s="157">
        <v>36</v>
      </c>
      <c r="E117" s="158">
        <f t="shared" si="99"/>
        <v>2.5714285714285716</v>
      </c>
      <c r="F117" s="10">
        <f t="shared" si="95"/>
        <v>29.62285714285715</v>
      </c>
      <c r="G117" s="11">
        <v>338</v>
      </c>
      <c r="H117" s="12">
        <v>415</v>
      </c>
      <c r="I117" s="12">
        <f t="shared" si="96"/>
        <v>393.53373257142863</v>
      </c>
      <c r="J117" s="12"/>
      <c r="K117" s="11"/>
      <c r="L117" s="12">
        <f t="shared" si="97"/>
        <v>1366.4113032947598</v>
      </c>
      <c r="M117" s="187">
        <v>0.95</v>
      </c>
      <c r="N117" s="187">
        <f t="shared" si="98"/>
        <v>0.49282106047323937</v>
      </c>
      <c r="O117" s="9"/>
      <c r="P117" s="10">
        <f t="shared" si="100"/>
        <v>33.757716049382708</v>
      </c>
    </row>
    <row r="118" spans="1:16">
      <c r="A118" s="323"/>
      <c r="B118" s="317"/>
      <c r="C118" s="157">
        <v>14</v>
      </c>
      <c r="D118" s="157">
        <v>36</v>
      </c>
      <c r="E118" s="158">
        <f t="shared" si="99"/>
        <v>2.5714285714285716</v>
      </c>
      <c r="F118" s="10">
        <f t="shared" si="95"/>
        <v>76.173061224489814</v>
      </c>
      <c r="G118" s="11">
        <v>132</v>
      </c>
      <c r="H118" s="12">
        <v>1032</v>
      </c>
      <c r="I118" s="12">
        <f t="shared" si="96"/>
        <v>961.3466895673472</v>
      </c>
      <c r="J118" s="12"/>
      <c r="K118" s="11"/>
      <c r="L118" s="12">
        <f t="shared" si="97"/>
        <v>1298.0907381300217</v>
      </c>
      <c r="M118" s="187">
        <v>0.95</v>
      </c>
      <c r="N118" s="187">
        <f t="shared" si="98"/>
        <v>0.46818000744957738</v>
      </c>
      <c r="O118" s="9"/>
      <c r="P118" s="10">
        <f t="shared" si="100"/>
        <v>13.128000685871053</v>
      </c>
    </row>
    <row r="119" spans="1:16">
      <c r="A119" s="323"/>
      <c r="B119" s="317"/>
      <c r="C119" s="157">
        <v>14</v>
      </c>
      <c r="D119" s="157">
        <v>36</v>
      </c>
      <c r="E119" s="158">
        <f t="shared" si="99"/>
        <v>2.5714285714285716</v>
      </c>
      <c r="F119" s="10">
        <f t="shared" si="95"/>
        <v>195.87358600583096</v>
      </c>
      <c r="G119" s="11">
        <v>51.3</v>
      </c>
      <c r="H119" s="12">
        <v>2400</v>
      </c>
      <c r="I119" s="12">
        <f t="shared" si="96"/>
        <v>2348.4326273716624</v>
      </c>
      <c r="J119" s="12"/>
      <c r="K119" s="11"/>
      <c r="L119" s="12">
        <f t="shared" si="97"/>
        <v>1233.1862012235206</v>
      </c>
      <c r="M119" s="187">
        <v>0.95</v>
      </c>
      <c r="N119" s="187">
        <f t="shared" si="98"/>
        <v>0.44477100707709849</v>
      </c>
      <c r="O119" s="9"/>
      <c r="P119" s="10">
        <f t="shared" si="100"/>
        <v>5.1053336000609653</v>
      </c>
    </row>
    <row r="120" spans="1:16">
      <c r="A120" s="323"/>
      <c r="B120" s="317"/>
      <c r="C120" s="157">
        <v>14</v>
      </c>
      <c r="D120" s="157">
        <v>36</v>
      </c>
      <c r="E120" s="158">
        <f t="shared" si="99"/>
        <v>2.5714285714285716</v>
      </c>
      <c r="F120" s="10">
        <f t="shared" si="95"/>
        <v>503.67493544356535</v>
      </c>
      <c r="G120" s="11">
        <v>19.899999999999999</v>
      </c>
      <c r="H120" s="12">
        <v>2306</v>
      </c>
      <c r="I120" s="12">
        <f t="shared" si="96"/>
        <v>5736.885418293632</v>
      </c>
      <c r="J120" s="12"/>
      <c r="K120" s="11"/>
      <c r="L120" s="12">
        <f t="shared" si="97"/>
        <v>1171.5268911623446</v>
      </c>
      <c r="M120" s="187">
        <v>0.95</v>
      </c>
      <c r="N120" s="187">
        <f>N119*M120</f>
        <v>0.42253245672324352</v>
      </c>
      <c r="O120" s="9" t="s">
        <v>24</v>
      </c>
      <c r="P120" s="10">
        <f t="shared" si="100"/>
        <v>1.9854075111348195</v>
      </c>
    </row>
    <row r="121" spans="1:16" ht="15" thickBot="1">
      <c r="A121" s="324"/>
      <c r="B121" s="318"/>
      <c r="C121" s="152">
        <v>14</v>
      </c>
      <c r="D121" s="152">
        <v>36</v>
      </c>
      <c r="E121" s="156">
        <f>D121/C121</f>
        <v>2.5714285714285716</v>
      </c>
      <c r="F121" s="23">
        <f t="shared" si="95"/>
        <v>1295.1641197120252</v>
      </c>
      <c r="G121" s="24">
        <v>7.8</v>
      </c>
      <c r="H121" s="25">
        <v>2306</v>
      </c>
      <c r="I121" s="25">
        <f t="shared" si="96"/>
        <v>14014.391521831587</v>
      </c>
      <c r="J121" s="25"/>
      <c r="K121" s="24"/>
      <c r="L121" s="25">
        <f t="shared" si="97"/>
        <v>1112.9505466042274</v>
      </c>
      <c r="M121" s="188">
        <v>0.95</v>
      </c>
      <c r="N121" s="188">
        <f>N120*M121</f>
        <v>0.40140583388708134</v>
      </c>
      <c r="O121" s="22" t="s">
        <v>24</v>
      </c>
      <c r="P121" s="23">
        <f t="shared" si="100"/>
        <v>0.77210292099687428</v>
      </c>
    </row>
    <row r="122" spans="1:16">
      <c r="A122" s="182" t="s">
        <v>21</v>
      </c>
      <c r="B122" s="18">
        <v>1260</v>
      </c>
      <c r="C122" s="149"/>
      <c r="D122" s="149"/>
      <c r="E122" s="155"/>
      <c r="F122" s="19">
        <v>1</v>
      </c>
      <c r="G122" s="20">
        <f>F124*G124</f>
        <v>10648.800000000001</v>
      </c>
      <c r="H122" s="21"/>
      <c r="I122" s="21">
        <v>16</v>
      </c>
      <c r="J122" s="21">
        <f>G122/4336+0.59*K122/1000</f>
        <v>3.0223040590405903</v>
      </c>
      <c r="K122" s="20">
        <f>I122*50+160</f>
        <v>960</v>
      </c>
      <c r="L122" s="21">
        <f>9.8*2*PI()*G122/60*I122/100</f>
        <v>1748.5390940029899</v>
      </c>
      <c r="M122" s="186">
        <f>L122/J122/K122</f>
        <v>0.60265110789833543</v>
      </c>
      <c r="N122" s="186">
        <f>L122/J$90/K$90</f>
        <v>0.63064239040445247</v>
      </c>
      <c r="O122" s="18"/>
      <c r="P122" s="19">
        <v>1000</v>
      </c>
    </row>
    <row r="123" spans="1:16">
      <c r="A123" s="322" t="s">
        <v>906</v>
      </c>
      <c r="B123" s="316">
        <v>72005</v>
      </c>
      <c r="C123" s="165">
        <v>10</v>
      </c>
      <c r="D123" s="165">
        <v>34</v>
      </c>
      <c r="E123" s="158">
        <f>D123/C123</f>
        <v>3.4</v>
      </c>
      <c r="F123" s="10">
        <f t="shared" ref="F123:F129" si="101">F122*E123</f>
        <v>3.4</v>
      </c>
      <c r="G123" s="162"/>
      <c r="H123" s="163"/>
      <c r="I123" s="12">
        <f t="shared" ref="I123:I129" si="102">I122*E123*M123</f>
        <v>50.048000000000002</v>
      </c>
      <c r="J123" s="163"/>
      <c r="K123" s="162"/>
      <c r="L123" s="12">
        <f t="shared" ref="L123:L129" si="103">L122*M123</f>
        <v>1608.6559664827507</v>
      </c>
      <c r="M123" s="187">
        <v>0.92</v>
      </c>
      <c r="N123" s="187">
        <f t="shared" ref="N123:N127" si="104">N122*M123</f>
        <v>0.58019099917209627</v>
      </c>
      <c r="O123" s="164"/>
      <c r="P123" s="161"/>
    </row>
    <row r="124" spans="1:16">
      <c r="A124" s="323"/>
      <c r="B124" s="317"/>
      <c r="C124" s="157">
        <v>10</v>
      </c>
      <c r="D124" s="157">
        <v>36</v>
      </c>
      <c r="E124" s="158">
        <f t="shared" ref="E124:E128" si="105">D124/C124</f>
        <v>3.6</v>
      </c>
      <c r="F124" s="10">
        <f t="shared" si="101"/>
        <v>12.24</v>
      </c>
      <c r="G124" s="11">
        <v>870</v>
      </c>
      <c r="H124" s="12">
        <v>161</v>
      </c>
      <c r="I124" s="12">
        <f t="shared" si="102"/>
        <v>171.16416000000001</v>
      </c>
      <c r="J124" s="12"/>
      <c r="K124" s="11"/>
      <c r="L124" s="12">
        <f t="shared" si="103"/>
        <v>1528.2231681586131</v>
      </c>
      <c r="M124" s="187">
        <v>0.95</v>
      </c>
      <c r="N124" s="187">
        <f t="shared" si="104"/>
        <v>0.55118144921349144</v>
      </c>
      <c r="O124" s="9"/>
      <c r="P124" s="10">
        <f t="shared" ref="P124:P129" si="106">P$90/$F124</f>
        <v>81.699346405228752</v>
      </c>
    </row>
    <row r="125" spans="1:16">
      <c r="A125" s="323"/>
      <c r="B125" s="317"/>
      <c r="C125" s="157">
        <v>14</v>
      </c>
      <c r="D125" s="157">
        <v>36</v>
      </c>
      <c r="E125" s="158">
        <f t="shared" si="105"/>
        <v>2.5714285714285716</v>
      </c>
      <c r="F125" s="10">
        <f t="shared" si="101"/>
        <v>31.474285714285717</v>
      </c>
      <c r="G125" s="11">
        <v>338</v>
      </c>
      <c r="H125" s="12">
        <v>415</v>
      </c>
      <c r="I125" s="12">
        <f t="shared" si="102"/>
        <v>418.12959085714289</v>
      </c>
      <c r="J125" s="12"/>
      <c r="K125" s="11"/>
      <c r="L125" s="12">
        <f t="shared" si="103"/>
        <v>1451.8120097506824</v>
      </c>
      <c r="M125" s="187">
        <v>0.95</v>
      </c>
      <c r="N125" s="187">
        <f t="shared" si="104"/>
        <v>0.52362237675281686</v>
      </c>
      <c r="O125" s="9"/>
      <c r="P125" s="10">
        <f t="shared" si="106"/>
        <v>31.771968046477848</v>
      </c>
    </row>
    <row r="126" spans="1:16">
      <c r="A126" s="323"/>
      <c r="B126" s="317"/>
      <c r="C126" s="157">
        <v>14</v>
      </c>
      <c r="D126" s="157">
        <v>36</v>
      </c>
      <c r="E126" s="158">
        <f t="shared" si="105"/>
        <v>2.5714285714285716</v>
      </c>
      <c r="F126" s="10">
        <f t="shared" si="101"/>
        <v>80.933877551020416</v>
      </c>
      <c r="G126" s="11">
        <v>132</v>
      </c>
      <c r="H126" s="12">
        <v>1032</v>
      </c>
      <c r="I126" s="12">
        <f t="shared" si="102"/>
        <v>1021.4308576653062</v>
      </c>
      <c r="J126" s="12"/>
      <c r="K126" s="11"/>
      <c r="L126" s="12">
        <f t="shared" si="103"/>
        <v>1379.2214092631482</v>
      </c>
      <c r="M126" s="187">
        <v>0.95</v>
      </c>
      <c r="N126" s="187">
        <f t="shared" si="104"/>
        <v>0.49744125791517602</v>
      </c>
      <c r="O126" s="9"/>
      <c r="P126" s="10">
        <f t="shared" si="106"/>
        <v>12.355765351408051</v>
      </c>
    </row>
    <row r="127" spans="1:16">
      <c r="A127" s="323"/>
      <c r="B127" s="317"/>
      <c r="C127" s="157">
        <v>14</v>
      </c>
      <c r="D127" s="157">
        <v>36</v>
      </c>
      <c r="E127" s="158">
        <f t="shared" si="105"/>
        <v>2.5714285714285716</v>
      </c>
      <c r="F127" s="10">
        <f t="shared" si="101"/>
        <v>208.11568513119536</v>
      </c>
      <c r="G127" s="11">
        <v>51.3</v>
      </c>
      <c r="H127" s="12">
        <v>2400</v>
      </c>
      <c r="I127" s="12">
        <f t="shared" si="102"/>
        <v>2495.209666582391</v>
      </c>
      <c r="J127" s="12"/>
      <c r="K127" s="11"/>
      <c r="L127" s="12">
        <f t="shared" si="103"/>
        <v>1310.2603387999907</v>
      </c>
      <c r="M127" s="187">
        <v>0.95</v>
      </c>
      <c r="N127" s="187">
        <f t="shared" si="104"/>
        <v>0.47256919501941719</v>
      </c>
      <c r="O127" s="9"/>
      <c r="P127" s="10">
        <f t="shared" si="106"/>
        <v>4.8050198588809092</v>
      </c>
    </row>
    <row r="128" spans="1:16">
      <c r="A128" s="323"/>
      <c r="B128" s="317"/>
      <c r="C128" s="157">
        <v>14</v>
      </c>
      <c r="D128" s="157">
        <v>36</v>
      </c>
      <c r="E128" s="158">
        <f t="shared" si="105"/>
        <v>2.5714285714285716</v>
      </c>
      <c r="F128" s="10">
        <f t="shared" si="101"/>
        <v>535.15461890878817</v>
      </c>
      <c r="G128" s="11">
        <v>19.899999999999999</v>
      </c>
      <c r="H128" s="12">
        <v>2306</v>
      </c>
      <c r="I128" s="12">
        <f t="shared" si="102"/>
        <v>6095.4407569369841</v>
      </c>
      <c r="J128" s="12"/>
      <c r="K128" s="11"/>
      <c r="L128" s="12">
        <f t="shared" si="103"/>
        <v>1244.7473218599912</v>
      </c>
      <c r="M128" s="187">
        <v>0.95</v>
      </c>
      <c r="N128" s="187">
        <f>N127*M128</f>
        <v>0.4489407352684463</v>
      </c>
      <c r="O128" s="9" t="s">
        <v>24</v>
      </c>
      <c r="P128" s="10">
        <f t="shared" si="106"/>
        <v>1.868618834009242</v>
      </c>
    </row>
    <row r="129" spans="1:16" ht="15" thickBot="1">
      <c r="A129" s="324"/>
      <c r="B129" s="318"/>
      <c r="C129" s="152">
        <v>14</v>
      </c>
      <c r="D129" s="152">
        <v>36</v>
      </c>
      <c r="E129" s="156">
        <f>D129/C129</f>
        <v>2.5714285714285716</v>
      </c>
      <c r="F129" s="23">
        <f t="shared" si="101"/>
        <v>1376.1118771940269</v>
      </c>
      <c r="G129" s="24">
        <v>7.8</v>
      </c>
      <c r="H129" s="25">
        <v>2306</v>
      </c>
      <c r="I129" s="25">
        <f t="shared" si="102"/>
        <v>14890.290991946062</v>
      </c>
      <c r="J129" s="25"/>
      <c r="K129" s="24"/>
      <c r="L129" s="25">
        <f t="shared" si="103"/>
        <v>1182.5099557669917</v>
      </c>
      <c r="M129" s="188">
        <v>0.95</v>
      </c>
      <c r="N129" s="188">
        <f>N128*M129</f>
        <v>0.42649369850502394</v>
      </c>
      <c r="O129" s="22" t="s">
        <v>24</v>
      </c>
      <c r="P129" s="23">
        <f t="shared" si="106"/>
        <v>0.72668510211470516</v>
      </c>
    </row>
    <row r="130" spans="1:16">
      <c r="A130" s="182" t="s">
        <v>21</v>
      </c>
      <c r="B130" s="18">
        <v>1260</v>
      </c>
      <c r="C130" s="149"/>
      <c r="D130" s="149"/>
      <c r="E130" s="155"/>
      <c r="F130" s="19">
        <v>1</v>
      </c>
      <c r="G130" s="20">
        <f>F132*G132</f>
        <v>7395</v>
      </c>
      <c r="H130" s="21"/>
      <c r="I130" s="21">
        <v>16</v>
      </c>
      <c r="J130" s="21">
        <f>G130/4336+0.59*K130/1000</f>
        <v>2.2718889298892986</v>
      </c>
      <c r="K130" s="20">
        <f>I130*50+160</f>
        <v>960</v>
      </c>
      <c r="L130" s="21">
        <f>9.8*2*PI()*G130/60*I130/100</f>
        <v>1214.2632597242982</v>
      </c>
      <c r="M130" s="186">
        <f>L130/J130/K130</f>
        <v>0.55674269352350902</v>
      </c>
      <c r="N130" s="186">
        <f>L130/J$90/K$90</f>
        <v>0.43794610444753634</v>
      </c>
      <c r="O130" s="18"/>
      <c r="P130" s="19">
        <v>1000</v>
      </c>
    </row>
    <row r="131" spans="1:16">
      <c r="A131" s="322" t="s">
        <v>906</v>
      </c>
      <c r="B131" s="316">
        <v>72005</v>
      </c>
      <c r="C131" s="165">
        <v>12</v>
      </c>
      <c r="D131" s="165">
        <v>34</v>
      </c>
      <c r="E131" s="158">
        <f>D131/C131</f>
        <v>2.8333333333333335</v>
      </c>
      <c r="F131" s="10">
        <f t="shared" ref="F131:F137" si="107">F130*E131</f>
        <v>2.8333333333333335</v>
      </c>
      <c r="G131" s="162"/>
      <c r="H131" s="163"/>
      <c r="I131" s="12">
        <f t="shared" ref="I131:I137" si="108">I130*E131*M131</f>
        <v>41.706666666666671</v>
      </c>
      <c r="J131" s="163"/>
      <c r="K131" s="162"/>
      <c r="L131" s="12">
        <f t="shared" ref="L131:L137" si="109">L130*M131</f>
        <v>1117.1221989463545</v>
      </c>
      <c r="M131" s="187">
        <v>0.92</v>
      </c>
      <c r="N131" s="187">
        <f t="shared" ref="N131:N135" si="110">N130*M131</f>
        <v>0.40291041609173345</v>
      </c>
      <c r="O131" s="164"/>
      <c r="P131" s="161"/>
    </row>
    <row r="132" spans="1:16">
      <c r="A132" s="323"/>
      <c r="B132" s="317"/>
      <c r="C132" s="157">
        <v>12</v>
      </c>
      <c r="D132" s="157">
        <v>36</v>
      </c>
      <c r="E132" s="158">
        <f t="shared" ref="E132:E136" si="111">D132/C132</f>
        <v>3</v>
      </c>
      <c r="F132" s="10">
        <f t="shared" si="107"/>
        <v>8.5</v>
      </c>
      <c r="G132" s="11">
        <v>870</v>
      </c>
      <c r="H132" s="12">
        <v>161</v>
      </c>
      <c r="I132" s="12">
        <f t="shared" si="108"/>
        <v>118.864</v>
      </c>
      <c r="J132" s="12"/>
      <c r="K132" s="11"/>
      <c r="L132" s="12">
        <f t="shared" si="109"/>
        <v>1061.2660889990368</v>
      </c>
      <c r="M132" s="187">
        <v>0.95</v>
      </c>
      <c r="N132" s="187">
        <f t="shared" si="110"/>
        <v>0.38276489528714674</v>
      </c>
      <c r="O132" s="9"/>
      <c r="P132" s="10">
        <f t="shared" ref="P132:P137" si="112">P$90/$F132</f>
        <v>117.64705882352941</v>
      </c>
    </row>
    <row r="133" spans="1:16">
      <c r="A133" s="323"/>
      <c r="B133" s="317"/>
      <c r="C133" s="157">
        <v>14</v>
      </c>
      <c r="D133" s="157">
        <v>36</v>
      </c>
      <c r="E133" s="158">
        <f t="shared" si="111"/>
        <v>2.5714285714285716</v>
      </c>
      <c r="F133" s="10">
        <f t="shared" si="107"/>
        <v>21.857142857142858</v>
      </c>
      <c r="G133" s="11">
        <v>338</v>
      </c>
      <c r="H133" s="12">
        <v>415</v>
      </c>
      <c r="I133" s="12">
        <f t="shared" si="108"/>
        <v>290.36777142857147</v>
      </c>
      <c r="J133" s="12"/>
      <c r="K133" s="11"/>
      <c r="L133" s="12">
        <f t="shared" si="109"/>
        <v>1008.2027845490849</v>
      </c>
      <c r="M133" s="187">
        <v>0.95</v>
      </c>
      <c r="N133" s="187">
        <f t="shared" si="110"/>
        <v>0.36362665052278936</v>
      </c>
      <c r="O133" s="9"/>
      <c r="P133" s="10">
        <f t="shared" si="112"/>
        <v>45.751633986928105</v>
      </c>
    </row>
    <row r="134" spans="1:16">
      <c r="A134" s="323"/>
      <c r="B134" s="317"/>
      <c r="C134" s="157">
        <v>14</v>
      </c>
      <c r="D134" s="157">
        <v>36</v>
      </c>
      <c r="E134" s="158">
        <f t="shared" si="111"/>
        <v>2.5714285714285716</v>
      </c>
      <c r="F134" s="10">
        <f t="shared" si="107"/>
        <v>56.204081632653065</v>
      </c>
      <c r="G134" s="11">
        <v>132</v>
      </c>
      <c r="H134" s="12">
        <v>1032</v>
      </c>
      <c r="I134" s="12">
        <f t="shared" si="108"/>
        <v>709.32698448979602</v>
      </c>
      <c r="J134" s="12"/>
      <c r="K134" s="11"/>
      <c r="L134" s="12">
        <f t="shared" si="109"/>
        <v>957.79264532163063</v>
      </c>
      <c r="M134" s="187">
        <v>0.95</v>
      </c>
      <c r="N134" s="187">
        <f t="shared" si="110"/>
        <v>0.3454453179966499</v>
      </c>
      <c r="O134" s="9"/>
      <c r="P134" s="10">
        <f t="shared" si="112"/>
        <v>17.792302106027595</v>
      </c>
    </row>
    <row r="135" spans="1:16">
      <c r="A135" s="323"/>
      <c r="B135" s="317"/>
      <c r="C135" s="157">
        <v>14</v>
      </c>
      <c r="D135" s="157">
        <v>36</v>
      </c>
      <c r="E135" s="158">
        <f t="shared" si="111"/>
        <v>2.5714285714285716</v>
      </c>
      <c r="F135" s="10">
        <f t="shared" si="107"/>
        <v>144.52478134110788</v>
      </c>
      <c r="G135" s="11">
        <v>51.3</v>
      </c>
      <c r="H135" s="12">
        <v>2400</v>
      </c>
      <c r="I135" s="12">
        <f t="shared" si="108"/>
        <v>1732.7844906822161</v>
      </c>
      <c r="J135" s="12"/>
      <c r="K135" s="11"/>
      <c r="L135" s="12">
        <f t="shared" si="109"/>
        <v>909.90301305554908</v>
      </c>
      <c r="M135" s="187">
        <v>0.95</v>
      </c>
      <c r="N135" s="187">
        <f t="shared" si="110"/>
        <v>0.32817305209681741</v>
      </c>
      <c r="O135" s="9"/>
      <c r="P135" s="10">
        <f t="shared" si="112"/>
        <v>6.9192285967885088</v>
      </c>
    </row>
    <row r="136" spans="1:16">
      <c r="A136" s="323"/>
      <c r="B136" s="317"/>
      <c r="C136" s="157">
        <v>14</v>
      </c>
      <c r="D136" s="157">
        <v>36</v>
      </c>
      <c r="E136" s="158">
        <f t="shared" si="111"/>
        <v>2.5714285714285716</v>
      </c>
      <c r="F136" s="10">
        <f t="shared" si="107"/>
        <v>371.63515201999172</v>
      </c>
      <c r="G136" s="11">
        <v>19.899999999999999</v>
      </c>
      <c r="H136" s="12">
        <v>2306</v>
      </c>
      <c r="I136" s="12">
        <f t="shared" si="108"/>
        <v>4232.9449700951272</v>
      </c>
      <c r="J136" s="12"/>
      <c r="K136" s="11"/>
      <c r="L136" s="12">
        <f t="shared" si="109"/>
        <v>864.40786240277157</v>
      </c>
      <c r="M136" s="187">
        <v>0.95</v>
      </c>
      <c r="N136" s="187">
        <f>N135*M136</f>
        <v>0.31176439949197654</v>
      </c>
      <c r="O136" s="9" t="s">
        <v>24</v>
      </c>
      <c r="P136" s="10">
        <f t="shared" si="112"/>
        <v>2.6908111209733088</v>
      </c>
    </row>
    <row r="137" spans="1:16" ht="15" thickBot="1">
      <c r="A137" s="324"/>
      <c r="B137" s="318"/>
      <c r="C137" s="152">
        <v>14</v>
      </c>
      <c r="D137" s="152">
        <v>36</v>
      </c>
      <c r="E137" s="156">
        <f>D137/C137</f>
        <v>2.5714285714285716</v>
      </c>
      <c r="F137" s="23">
        <f t="shared" si="107"/>
        <v>955.63324805140735</v>
      </c>
      <c r="G137" s="24">
        <v>7.8</v>
      </c>
      <c r="H137" s="25">
        <v>2306</v>
      </c>
      <c r="I137" s="25">
        <f t="shared" si="108"/>
        <v>10340.479855518097</v>
      </c>
      <c r="J137" s="25"/>
      <c r="K137" s="24"/>
      <c r="L137" s="25">
        <f t="shared" si="109"/>
        <v>821.18746928263295</v>
      </c>
      <c r="M137" s="188">
        <v>0.95</v>
      </c>
      <c r="N137" s="188">
        <f>N136*M137</f>
        <v>0.29617617951737768</v>
      </c>
      <c r="O137" s="22" t="s">
        <v>24</v>
      </c>
      <c r="P137" s="23">
        <f t="shared" si="112"/>
        <v>1.0464265470451757</v>
      </c>
    </row>
    <row r="138" spans="1:16">
      <c r="A138" s="182" t="s">
        <v>21</v>
      </c>
      <c r="B138" s="18">
        <v>1260</v>
      </c>
      <c r="C138" s="149"/>
      <c r="D138" s="149"/>
      <c r="E138" s="155"/>
      <c r="F138" s="19">
        <v>1</v>
      </c>
      <c r="G138" s="20">
        <f>F140*G140</f>
        <v>7830</v>
      </c>
      <c r="H138" s="21"/>
      <c r="I138" s="21">
        <v>16</v>
      </c>
      <c r="J138" s="21">
        <f>G138/4336+0.59*K138/1000</f>
        <v>2.372211808118081</v>
      </c>
      <c r="K138" s="20">
        <f>I138*50+160</f>
        <v>960</v>
      </c>
      <c r="L138" s="21">
        <f>9.8*2*PI()*G138/60*I138/100</f>
        <v>1285.6905102963158</v>
      </c>
      <c r="M138" s="186">
        <f>L138/J138/K138</f>
        <v>0.56456212874506728</v>
      </c>
      <c r="N138" s="186">
        <f>L138/J$90/K$90</f>
        <v>0.4637076400032738</v>
      </c>
      <c r="O138" s="18"/>
      <c r="P138" s="19">
        <v>1000</v>
      </c>
    </row>
    <row r="139" spans="1:16">
      <c r="A139" s="322" t="s">
        <v>906</v>
      </c>
      <c r="B139" s="316">
        <v>72005</v>
      </c>
      <c r="C139" s="165">
        <v>12</v>
      </c>
      <c r="D139" s="165">
        <v>36</v>
      </c>
      <c r="E139" s="158">
        <f>D139/C139</f>
        <v>3</v>
      </c>
      <c r="F139" s="10">
        <f t="shared" ref="F139:F145" si="113">F138*E139</f>
        <v>3</v>
      </c>
      <c r="G139" s="162"/>
      <c r="H139" s="163"/>
      <c r="I139" s="12">
        <f t="shared" ref="I139:I145" si="114">I138*E139*M139</f>
        <v>44.160000000000004</v>
      </c>
      <c r="J139" s="163"/>
      <c r="K139" s="162"/>
      <c r="L139" s="12">
        <f t="shared" ref="L139:L145" si="115">L138*M139</f>
        <v>1182.8352694726107</v>
      </c>
      <c r="M139" s="187">
        <v>0.92</v>
      </c>
      <c r="N139" s="187">
        <f t="shared" ref="N139:N143" si="116">N138*M139</f>
        <v>0.42661102880301194</v>
      </c>
      <c r="O139" s="164"/>
      <c r="P139" s="161"/>
    </row>
    <row r="140" spans="1:16">
      <c r="A140" s="323"/>
      <c r="B140" s="317"/>
      <c r="C140" s="157">
        <v>12</v>
      </c>
      <c r="D140" s="157">
        <v>36</v>
      </c>
      <c r="E140" s="158">
        <f t="shared" ref="E140:E144" si="117">D140/C140</f>
        <v>3</v>
      </c>
      <c r="F140" s="10">
        <f t="shared" si="113"/>
        <v>9</v>
      </c>
      <c r="G140" s="11">
        <v>870</v>
      </c>
      <c r="H140" s="12">
        <v>161</v>
      </c>
      <c r="I140" s="12">
        <f t="shared" si="114"/>
        <v>125.85600000000001</v>
      </c>
      <c r="J140" s="12"/>
      <c r="K140" s="11"/>
      <c r="L140" s="12">
        <f t="shared" si="115"/>
        <v>1123.6935059989801</v>
      </c>
      <c r="M140" s="187">
        <v>0.95</v>
      </c>
      <c r="N140" s="187">
        <f t="shared" si="116"/>
        <v>0.40528047736286132</v>
      </c>
      <c r="O140" s="9"/>
      <c r="P140" s="10">
        <f t="shared" ref="P140:P145" si="118">P$90/$F140</f>
        <v>111.11111111111111</v>
      </c>
    </row>
    <row r="141" spans="1:16">
      <c r="A141" s="323"/>
      <c r="B141" s="317"/>
      <c r="C141" s="157">
        <v>14</v>
      </c>
      <c r="D141" s="157">
        <v>36</v>
      </c>
      <c r="E141" s="158">
        <f t="shared" si="117"/>
        <v>2.5714285714285716</v>
      </c>
      <c r="F141" s="10">
        <f t="shared" si="113"/>
        <v>23.142857142857146</v>
      </c>
      <c r="G141" s="11">
        <v>338</v>
      </c>
      <c r="H141" s="12">
        <v>415</v>
      </c>
      <c r="I141" s="12">
        <f t="shared" si="114"/>
        <v>307.44822857142861</v>
      </c>
      <c r="J141" s="12"/>
      <c r="K141" s="11"/>
      <c r="L141" s="12">
        <f t="shared" si="115"/>
        <v>1067.508830699031</v>
      </c>
      <c r="M141" s="187">
        <v>0.95</v>
      </c>
      <c r="N141" s="187">
        <f t="shared" si="116"/>
        <v>0.38501645349471825</v>
      </c>
      <c r="O141" s="9"/>
      <c r="P141" s="10">
        <f t="shared" si="118"/>
        <v>43.209876543209873</v>
      </c>
    </row>
    <row r="142" spans="1:16">
      <c r="A142" s="323"/>
      <c r="B142" s="317"/>
      <c r="C142" s="157">
        <v>14</v>
      </c>
      <c r="D142" s="157">
        <v>36</v>
      </c>
      <c r="E142" s="158">
        <f t="shared" si="117"/>
        <v>2.5714285714285716</v>
      </c>
      <c r="F142" s="10">
        <f t="shared" si="113"/>
        <v>59.510204081632665</v>
      </c>
      <c r="G142" s="11">
        <v>132</v>
      </c>
      <c r="H142" s="12">
        <v>1032</v>
      </c>
      <c r="I142" s="12">
        <f t="shared" si="114"/>
        <v>751.05210122448989</v>
      </c>
      <c r="J142" s="12"/>
      <c r="K142" s="11"/>
      <c r="L142" s="12">
        <f t="shared" si="115"/>
        <v>1014.1333891640794</v>
      </c>
      <c r="M142" s="187">
        <v>0.95</v>
      </c>
      <c r="N142" s="187">
        <f t="shared" si="116"/>
        <v>0.36576563081998231</v>
      </c>
      <c r="O142" s="9"/>
      <c r="P142" s="10">
        <f t="shared" si="118"/>
        <v>16.803840877914947</v>
      </c>
    </row>
    <row r="143" spans="1:16">
      <c r="A143" s="323"/>
      <c r="B143" s="317"/>
      <c r="C143" s="157">
        <v>14</v>
      </c>
      <c r="D143" s="157">
        <v>36</v>
      </c>
      <c r="E143" s="158">
        <f t="shared" si="117"/>
        <v>2.5714285714285716</v>
      </c>
      <c r="F143" s="10">
        <f t="shared" si="113"/>
        <v>153.02623906705543</v>
      </c>
      <c r="G143" s="11">
        <v>51.3</v>
      </c>
      <c r="H143" s="12">
        <v>2400</v>
      </c>
      <c r="I143" s="12">
        <f t="shared" si="114"/>
        <v>1834.7129901341109</v>
      </c>
      <c r="J143" s="12"/>
      <c r="K143" s="11"/>
      <c r="L143" s="12">
        <f t="shared" si="115"/>
        <v>963.42671970587537</v>
      </c>
      <c r="M143" s="187">
        <v>0.95</v>
      </c>
      <c r="N143" s="187">
        <f t="shared" si="116"/>
        <v>0.34747734927898316</v>
      </c>
      <c r="O143" s="9"/>
      <c r="P143" s="10">
        <f t="shared" si="118"/>
        <v>6.5348270080780351</v>
      </c>
    </row>
    <row r="144" spans="1:16">
      <c r="A144" s="323"/>
      <c r="B144" s="317"/>
      <c r="C144" s="157">
        <v>14</v>
      </c>
      <c r="D144" s="157">
        <v>36</v>
      </c>
      <c r="E144" s="158">
        <f t="shared" si="117"/>
        <v>2.5714285714285716</v>
      </c>
      <c r="F144" s="10">
        <f t="shared" si="113"/>
        <v>393.49604331528542</v>
      </c>
      <c r="G144" s="11">
        <v>19.899999999999999</v>
      </c>
      <c r="H144" s="12">
        <v>2306</v>
      </c>
      <c r="I144" s="12">
        <f t="shared" si="114"/>
        <v>4481.9417330419001</v>
      </c>
      <c r="J144" s="12"/>
      <c r="K144" s="11"/>
      <c r="L144" s="12">
        <f t="shared" si="115"/>
        <v>915.25538372058156</v>
      </c>
      <c r="M144" s="187">
        <v>0.95</v>
      </c>
      <c r="N144" s="187">
        <f>N143*M144</f>
        <v>0.33010348181503396</v>
      </c>
      <c r="O144" s="9" t="s">
        <v>24</v>
      </c>
      <c r="P144" s="10">
        <f t="shared" si="118"/>
        <v>2.5413216142525692</v>
      </c>
    </row>
    <row r="145" spans="1:16" ht="15" thickBot="1">
      <c r="A145" s="324"/>
      <c r="B145" s="318"/>
      <c r="C145" s="152">
        <v>14</v>
      </c>
      <c r="D145" s="152">
        <v>36</v>
      </c>
      <c r="E145" s="156">
        <f>D145/C145</f>
        <v>2.5714285714285716</v>
      </c>
      <c r="F145" s="23">
        <f t="shared" si="113"/>
        <v>1011.8469685250197</v>
      </c>
      <c r="G145" s="24">
        <v>7.8</v>
      </c>
      <c r="H145" s="25">
        <v>2306</v>
      </c>
      <c r="I145" s="25">
        <f t="shared" si="114"/>
        <v>10948.743376430926</v>
      </c>
      <c r="J145" s="25"/>
      <c r="K145" s="24"/>
      <c r="L145" s="25">
        <f t="shared" si="115"/>
        <v>869.49261453455244</v>
      </c>
      <c r="M145" s="188">
        <v>0.95</v>
      </c>
      <c r="N145" s="188">
        <f>N144*M145</f>
        <v>0.31359830772428227</v>
      </c>
      <c r="O145" s="22" t="s">
        <v>24</v>
      </c>
      <c r="P145" s="23">
        <f t="shared" si="118"/>
        <v>0.98829173887599897</v>
      </c>
    </row>
    <row r="146" spans="1:16">
      <c r="A146" s="182" t="s">
        <v>21</v>
      </c>
      <c r="B146" s="18">
        <v>1260</v>
      </c>
      <c r="C146" s="149"/>
      <c r="D146" s="149"/>
      <c r="E146" s="155"/>
      <c r="F146" s="19">
        <v>1</v>
      </c>
      <c r="G146" s="20">
        <f>F148*G148</f>
        <v>6711.4285714285725</v>
      </c>
      <c r="H146" s="21"/>
      <c r="I146" s="21">
        <v>16</v>
      </c>
      <c r="J146" s="21">
        <f>G146/4336+0.59*K146/1000</f>
        <v>2.1142386926726413</v>
      </c>
      <c r="K146" s="20">
        <f>I146*50+160</f>
        <v>960</v>
      </c>
      <c r="L146" s="21">
        <f>9.8*2*PI()*G146/60*I146/100</f>
        <v>1102.0204373968422</v>
      </c>
      <c r="M146" s="186">
        <f>L146/J146/K146</f>
        <v>0.54295570296775941</v>
      </c>
      <c r="N146" s="186">
        <f>L146/J$90/K$90</f>
        <v>0.39746369143137755</v>
      </c>
      <c r="O146" s="18"/>
      <c r="P146" s="19">
        <v>1000</v>
      </c>
    </row>
    <row r="147" spans="1:16">
      <c r="A147" s="322" t="s">
        <v>906</v>
      </c>
      <c r="B147" s="316">
        <v>72005</v>
      </c>
      <c r="C147" s="165">
        <v>12</v>
      </c>
      <c r="D147" s="165">
        <v>36</v>
      </c>
      <c r="E147" s="158">
        <f>D147/C147</f>
        <v>3</v>
      </c>
      <c r="F147" s="10">
        <f t="shared" ref="F147:F153" si="119">F146*E147</f>
        <v>3</v>
      </c>
      <c r="G147" s="162"/>
      <c r="H147" s="163"/>
      <c r="I147" s="12">
        <f t="shared" ref="I147:I153" si="120">I146*E147*M147</f>
        <v>44.160000000000004</v>
      </c>
      <c r="J147" s="163"/>
      <c r="K147" s="162"/>
      <c r="L147" s="12">
        <f t="shared" ref="L147:L153" si="121">L146*M147</f>
        <v>1013.8588024050949</v>
      </c>
      <c r="M147" s="187">
        <v>0.92</v>
      </c>
      <c r="N147" s="187">
        <f t="shared" ref="N147:N151" si="122">N146*M147</f>
        <v>0.36566659611686736</v>
      </c>
      <c r="O147" s="164"/>
      <c r="P147" s="161"/>
    </row>
    <row r="148" spans="1:16">
      <c r="A148" s="323"/>
      <c r="B148" s="317"/>
      <c r="C148" s="157">
        <v>14</v>
      </c>
      <c r="D148" s="157">
        <v>36</v>
      </c>
      <c r="E148" s="158">
        <f t="shared" ref="E148:E152" si="123">D148/C148</f>
        <v>2.5714285714285716</v>
      </c>
      <c r="F148" s="10">
        <f t="shared" si="119"/>
        <v>7.7142857142857153</v>
      </c>
      <c r="G148" s="11">
        <v>870</v>
      </c>
      <c r="H148" s="12">
        <v>161</v>
      </c>
      <c r="I148" s="12">
        <f t="shared" si="120"/>
        <v>107.87657142857144</v>
      </c>
      <c r="J148" s="12"/>
      <c r="K148" s="11"/>
      <c r="L148" s="12">
        <f t="shared" si="121"/>
        <v>963.16586228484016</v>
      </c>
      <c r="M148" s="187">
        <v>0.95</v>
      </c>
      <c r="N148" s="187">
        <f t="shared" si="122"/>
        <v>0.34738326631102395</v>
      </c>
      <c r="O148" s="9"/>
      <c r="P148" s="10">
        <f t="shared" ref="P148:P153" si="124">P$90/$F148</f>
        <v>129.62962962962962</v>
      </c>
    </row>
    <row r="149" spans="1:16">
      <c r="A149" s="323"/>
      <c r="B149" s="317"/>
      <c r="C149" s="157">
        <v>14</v>
      </c>
      <c r="D149" s="157">
        <v>36</v>
      </c>
      <c r="E149" s="158">
        <f t="shared" si="123"/>
        <v>2.5714285714285716</v>
      </c>
      <c r="F149" s="10">
        <f t="shared" si="119"/>
        <v>19.836734693877556</v>
      </c>
      <c r="G149" s="11">
        <v>338</v>
      </c>
      <c r="H149" s="12">
        <v>415</v>
      </c>
      <c r="I149" s="12">
        <f t="shared" si="120"/>
        <v>263.52705306122454</v>
      </c>
      <c r="J149" s="12"/>
      <c r="K149" s="11"/>
      <c r="L149" s="12">
        <f t="shared" si="121"/>
        <v>915.00756917059812</v>
      </c>
      <c r="M149" s="187">
        <v>0.95</v>
      </c>
      <c r="N149" s="187">
        <f t="shared" si="122"/>
        <v>0.33001410299547274</v>
      </c>
      <c r="O149" s="9"/>
      <c r="P149" s="10">
        <f t="shared" si="124"/>
        <v>50.411522633744845</v>
      </c>
    </row>
    <row r="150" spans="1:16">
      <c r="A150" s="323"/>
      <c r="B150" s="317"/>
      <c r="C150" s="157">
        <v>14</v>
      </c>
      <c r="D150" s="157">
        <v>36</v>
      </c>
      <c r="E150" s="158">
        <f t="shared" si="123"/>
        <v>2.5714285714285716</v>
      </c>
      <c r="F150" s="10">
        <f t="shared" si="119"/>
        <v>51.008746355685147</v>
      </c>
      <c r="G150" s="11">
        <v>132</v>
      </c>
      <c r="H150" s="12">
        <v>1032</v>
      </c>
      <c r="I150" s="12">
        <f t="shared" si="120"/>
        <v>643.75894390670567</v>
      </c>
      <c r="J150" s="12"/>
      <c r="K150" s="11"/>
      <c r="L150" s="12">
        <f t="shared" si="121"/>
        <v>869.25719071206822</v>
      </c>
      <c r="M150" s="187">
        <v>0.95</v>
      </c>
      <c r="N150" s="187">
        <f t="shared" si="122"/>
        <v>0.31351339784569909</v>
      </c>
      <c r="O150" s="9"/>
      <c r="P150" s="10">
        <f t="shared" si="124"/>
        <v>19.604481024234104</v>
      </c>
    </row>
    <row r="151" spans="1:16">
      <c r="A151" s="323"/>
      <c r="B151" s="317"/>
      <c r="C151" s="157">
        <v>14</v>
      </c>
      <c r="D151" s="157">
        <v>36</v>
      </c>
      <c r="E151" s="158">
        <f t="shared" si="123"/>
        <v>2.5714285714285716</v>
      </c>
      <c r="F151" s="10">
        <f t="shared" si="119"/>
        <v>131.16534777176182</v>
      </c>
      <c r="G151" s="11">
        <v>51.3</v>
      </c>
      <c r="H151" s="12">
        <v>2400</v>
      </c>
      <c r="I151" s="12">
        <f t="shared" si="120"/>
        <v>1572.6111344006667</v>
      </c>
      <c r="J151" s="12"/>
      <c r="K151" s="11"/>
      <c r="L151" s="12">
        <f t="shared" si="121"/>
        <v>825.79433117646477</v>
      </c>
      <c r="M151" s="187">
        <v>0.95</v>
      </c>
      <c r="N151" s="187">
        <f t="shared" si="122"/>
        <v>0.29783772795341412</v>
      </c>
      <c r="O151" s="9"/>
      <c r="P151" s="10">
        <f t="shared" si="124"/>
        <v>7.6239648427577071</v>
      </c>
    </row>
    <row r="152" spans="1:16">
      <c r="A152" s="323"/>
      <c r="B152" s="317"/>
      <c r="C152" s="157">
        <v>14</v>
      </c>
      <c r="D152" s="157">
        <v>36</v>
      </c>
      <c r="E152" s="158">
        <f t="shared" si="123"/>
        <v>2.5714285714285716</v>
      </c>
      <c r="F152" s="10">
        <f t="shared" si="119"/>
        <v>337.28232284167325</v>
      </c>
      <c r="G152" s="11">
        <v>19.899999999999999</v>
      </c>
      <c r="H152" s="12">
        <v>2306</v>
      </c>
      <c r="I152" s="12">
        <f t="shared" si="120"/>
        <v>3841.6643426073433</v>
      </c>
      <c r="J152" s="12"/>
      <c r="K152" s="11"/>
      <c r="L152" s="12">
        <f t="shared" si="121"/>
        <v>784.50461461764144</v>
      </c>
      <c r="M152" s="187">
        <v>0.95</v>
      </c>
      <c r="N152" s="187">
        <f>N151*M152</f>
        <v>0.28294584155574343</v>
      </c>
      <c r="O152" s="9" t="s">
        <v>24</v>
      </c>
      <c r="P152" s="10">
        <f t="shared" si="124"/>
        <v>2.964875216627997</v>
      </c>
    </row>
    <row r="153" spans="1:16" ht="15" thickBot="1">
      <c r="A153" s="324"/>
      <c r="B153" s="318"/>
      <c r="C153" s="152">
        <v>14</v>
      </c>
      <c r="D153" s="152">
        <v>36</v>
      </c>
      <c r="E153" s="156">
        <f>D153/C153</f>
        <v>2.5714285714285716</v>
      </c>
      <c r="F153" s="23">
        <f t="shared" si="119"/>
        <v>867.29740159287417</v>
      </c>
      <c r="G153" s="24">
        <v>7.8</v>
      </c>
      <c r="H153" s="25">
        <v>2306</v>
      </c>
      <c r="I153" s="25">
        <f t="shared" si="120"/>
        <v>9384.6371797979391</v>
      </c>
      <c r="J153" s="25"/>
      <c r="K153" s="24"/>
      <c r="L153" s="25">
        <f t="shared" si="121"/>
        <v>745.27938388675932</v>
      </c>
      <c r="M153" s="188">
        <v>0.95</v>
      </c>
      <c r="N153" s="188">
        <f>N152*M153</f>
        <v>0.26879854947795623</v>
      </c>
      <c r="O153" s="22" t="s">
        <v>24</v>
      </c>
      <c r="P153" s="23">
        <f t="shared" si="124"/>
        <v>1.1530070286886653</v>
      </c>
    </row>
    <row r="154" spans="1:16">
      <c r="A154" s="182" t="s">
        <v>21</v>
      </c>
      <c r="B154" s="18">
        <v>1260</v>
      </c>
      <c r="C154" s="149"/>
      <c r="D154" s="149"/>
      <c r="E154" s="155"/>
      <c r="F154" s="19">
        <v>1</v>
      </c>
      <c r="G154" s="20">
        <f>F156*G156</f>
        <v>5752.6530612244906</v>
      </c>
      <c r="H154" s="21"/>
      <c r="I154" s="21">
        <v>16</v>
      </c>
      <c r="J154" s="21">
        <f>G154/4336+0.59*K154/1000</f>
        <v>1.8931188794336924</v>
      </c>
      <c r="K154" s="20">
        <f>I154*50+160</f>
        <v>960</v>
      </c>
      <c r="L154" s="21">
        <f>9.8*2*PI()*G154/60*I154/100</f>
        <v>944.58894634015053</v>
      </c>
      <c r="M154" s="186">
        <f>L154/J154/K154</f>
        <v>0.51974909224858679</v>
      </c>
      <c r="N154" s="186">
        <f>L154/J$90/K$90</f>
        <v>0.34068316408403798</v>
      </c>
      <c r="O154" s="18"/>
      <c r="P154" s="19">
        <v>1000</v>
      </c>
    </row>
    <row r="155" spans="1:16">
      <c r="A155" s="322" t="s">
        <v>906</v>
      </c>
      <c r="B155" s="316">
        <v>72005</v>
      </c>
      <c r="C155" s="165">
        <v>14</v>
      </c>
      <c r="D155" s="165">
        <v>36</v>
      </c>
      <c r="E155" s="158">
        <f>D155/C155</f>
        <v>2.5714285714285716</v>
      </c>
      <c r="F155" s="10">
        <f t="shared" ref="F155:F161" si="125">F154*E155</f>
        <v>2.5714285714285716</v>
      </c>
      <c r="G155" s="162"/>
      <c r="H155" s="163"/>
      <c r="I155" s="12">
        <f t="shared" ref="I155:I161" si="126">I154*E155*M155</f>
        <v>37.851428571428578</v>
      </c>
      <c r="J155" s="163"/>
      <c r="K155" s="162"/>
      <c r="L155" s="12">
        <f t="shared" ref="L155:L161" si="127">L154*M155</f>
        <v>869.02183063293853</v>
      </c>
      <c r="M155" s="187">
        <v>0.92</v>
      </c>
      <c r="N155" s="187">
        <f t="shared" ref="N155:N159" si="128">N154*M155</f>
        <v>0.31342851095731494</v>
      </c>
      <c r="O155" s="164"/>
      <c r="P155" s="161"/>
    </row>
    <row r="156" spans="1:16">
      <c r="A156" s="323"/>
      <c r="B156" s="317"/>
      <c r="C156" s="157">
        <v>14</v>
      </c>
      <c r="D156" s="157">
        <v>36</v>
      </c>
      <c r="E156" s="158">
        <f t="shared" ref="E156:E160" si="129">D156/C156</f>
        <v>2.5714285714285716</v>
      </c>
      <c r="F156" s="10">
        <f t="shared" si="125"/>
        <v>6.6122448979591848</v>
      </c>
      <c r="G156" s="11">
        <v>870</v>
      </c>
      <c r="H156" s="12">
        <v>161</v>
      </c>
      <c r="I156" s="12">
        <f t="shared" si="126"/>
        <v>92.465632653061249</v>
      </c>
      <c r="J156" s="12"/>
      <c r="K156" s="11"/>
      <c r="L156" s="12">
        <f t="shared" si="127"/>
        <v>825.57073910129157</v>
      </c>
      <c r="M156" s="187">
        <v>0.95</v>
      </c>
      <c r="N156" s="187">
        <f t="shared" si="128"/>
        <v>0.29775708540944917</v>
      </c>
      <c r="O156" s="9"/>
      <c r="P156" s="10">
        <f t="shared" ref="P156:P161" si="130">P$90/$F156</f>
        <v>151.23456790123456</v>
      </c>
    </row>
    <row r="157" spans="1:16">
      <c r="A157" s="323"/>
      <c r="B157" s="317"/>
      <c r="C157" s="157">
        <v>14</v>
      </c>
      <c r="D157" s="157">
        <v>36</v>
      </c>
      <c r="E157" s="158">
        <f t="shared" si="129"/>
        <v>2.5714285714285716</v>
      </c>
      <c r="F157" s="10">
        <f t="shared" si="125"/>
        <v>17.002915451895049</v>
      </c>
      <c r="G157" s="11">
        <v>338</v>
      </c>
      <c r="H157" s="12">
        <v>415</v>
      </c>
      <c r="I157" s="12">
        <f t="shared" si="126"/>
        <v>225.88033119533534</v>
      </c>
      <c r="J157" s="12"/>
      <c r="K157" s="11"/>
      <c r="L157" s="12">
        <f t="shared" si="127"/>
        <v>784.29220214622694</v>
      </c>
      <c r="M157" s="187">
        <v>0.95</v>
      </c>
      <c r="N157" s="187">
        <f t="shared" si="128"/>
        <v>0.28286923113897672</v>
      </c>
      <c r="O157" s="9"/>
      <c r="P157" s="10">
        <f t="shared" si="130"/>
        <v>58.813443072702313</v>
      </c>
    </row>
    <row r="158" spans="1:16">
      <c r="A158" s="323"/>
      <c r="B158" s="317"/>
      <c r="C158" s="157">
        <v>14</v>
      </c>
      <c r="D158" s="157">
        <v>36</v>
      </c>
      <c r="E158" s="158">
        <f t="shared" si="129"/>
        <v>2.5714285714285716</v>
      </c>
      <c r="F158" s="10">
        <f t="shared" si="125"/>
        <v>43.721782590587274</v>
      </c>
      <c r="G158" s="11">
        <v>132</v>
      </c>
      <c r="H158" s="12">
        <v>1032</v>
      </c>
      <c r="I158" s="12">
        <f t="shared" si="126"/>
        <v>551.79338049146213</v>
      </c>
      <c r="J158" s="12"/>
      <c r="K158" s="11"/>
      <c r="L158" s="12">
        <f t="shared" si="127"/>
        <v>745.07759203891555</v>
      </c>
      <c r="M158" s="187">
        <v>0.95</v>
      </c>
      <c r="N158" s="187">
        <f t="shared" si="128"/>
        <v>0.26872576958202787</v>
      </c>
      <c r="O158" s="9"/>
      <c r="P158" s="10">
        <f t="shared" si="130"/>
        <v>22.871894528273121</v>
      </c>
    </row>
    <row r="159" spans="1:16">
      <c r="A159" s="323"/>
      <c r="B159" s="317"/>
      <c r="C159" s="157">
        <v>14</v>
      </c>
      <c r="D159" s="157">
        <v>36</v>
      </c>
      <c r="E159" s="158">
        <f t="shared" si="129"/>
        <v>2.5714285714285716</v>
      </c>
      <c r="F159" s="10">
        <f t="shared" si="125"/>
        <v>112.42744094722443</v>
      </c>
      <c r="G159" s="11">
        <v>51.3</v>
      </c>
      <c r="H159" s="12">
        <v>2400</v>
      </c>
      <c r="I159" s="12">
        <f t="shared" si="126"/>
        <v>1347.9524009148574</v>
      </c>
      <c r="J159" s="12"/>
      <c r="K159" s="11"/>
      <c r="L159" s="12">
        <f t="shared" si="127"/>
        <v>707.8237124369698</v>
      </c>
      <c r="M159" s="187">
        <v>0.95</v>
      </c>
      <c r="N159" s="187">
        <f t="shared" si="128"/>
        <v>0.25528948110292649</v>
      </c>
      <c r="O159" s="9"/>
      <c r="P159" s="10">
        <f t="shared" si="130"/>
        <v>8.8946256498839897</v>
      </c>
    </row>
    <row r="160" spans="1:16">
      <c r="A160" s="323"/>
      <c r="B160" s="317"/>
      <c r="C160" s="157">
        <v>14</v>
      </c>
      <c r="D160" s="157">
        <v>36</v>
      </c>
      <c r="E160" s="158">
        <f t="shared" si="129"/>
        <v>2.5714285714285716</v>
      </c>
      <c r="F160" s="10">
        <f t="shared" si="125"/>
        <v>289.09913386429139</v>
      </c>
      <c r="G160" s="11">
        <v>19.899999999999999</v>
      </c>
      <c r="H160" s="12">
        <v>2306</v>
      </c>
      <c r="I160" s="12">
        <f t="shared" si="126"/>
        <v>3292.8551508062947</v>
      </c>
      <c r="J160" s="12"/>
      <c r="K160" s="11"/>
      <c r="L160" s="12">
        <f t="shared" si="127"/>
        <v>672.43252681512126</v>
      </c>
      <c r="M160" s="187">
        <v>0.95</v>
      </c>
      <c r="N160" s="187">
        <f>N159*M160</f>
        <v>0.24252500704778016</v>
      </c>
      <c r="O160" s="9" t="s">
        <v>24</v>
      </c>
      <c r="P160" s="10">
        <f t="shared" si="130"/>
        <v>3.459021086065996</v>
      </c>
    </row>
    <row r="161" spans="1:16" ht="15" thickBot="1">
      <c r="A161" s="324"/>
      <c r="B161" s="318"/>
      <c r="C161" s="152">
        <v>14</v>
      </c>
      <c r="D161" s="152">
        <v>36</v>
      </c>
      <c r="E161" s="156">
        <f>D161/C161</f>
        <v>2.5714285714285716</v>
      </c>
      <c r="F161" s="23">
        <f t="shared" si="125"/>
        <v>743.39777279389216</v>
      </c>
      <c r="G161" s="24">
        <v>7.8</v>
      </c>
      <c r="H161" s="25">
        <v>2306</v>
      </c>
      <c r="I161" s="25">
        <f t="shared" si="126"/>
        <v>8043.9747255410903</v>
      </c>
      <c r="J161" s="25"/>
      <c r="K161" s="24"/>
      <c r="L161" s="25">
        <f t="shared" si="127"/>
        <v>638.81090047436521</v>
      </c>
      <c r="M161" s="188">
        <v>0.95</v>
      </c>
      <c r="N161" s="188">
        <f>N160*M161</f>
        <v>0.23039875669539114</v>
      </c>
      <c r="O161" s="22" t="s">
        <v>24</v>
      </c>
      <c r="P161" s="23">
        <f t="shared" si="130"/>
        <v>1.3451748668034429</v>
      </c>
    </row>
    <row r="162" spans="1:16">
      <c r="A162" s="182" t="s">
        <v>21</v>
      </c>
      <c r="B162" s="18">
        <v>1155</v>
      </c>
      <c r="C162" s="149"/>
      <c r="D162" s="149"/>
      <c r="E162" s="155"/>
      <c r="F162" s="19">
        <v>1</v>
      </c>
      <c r="G162" s="20">
        <f>F167*G167</f>
        <v>10116.734693877554</v>
      </c>
      <c r="H162" s="21"/>
      <c r="I162" s="21">
        <v>16</v>
      </c>
      <c r="J162" s="21">
        <f>G162/4336+0.59*K162/1000</f>
        <v>2.8995952707282182</v>
      </c>
      <c r="K162" s="20">
        <f>I162*50+160</f>
        <v>960</v>
      </c>
      <c r="L162" s="21">
        <f t="shared" ref="L162" si="131">9.8*2*PI()*G162/60*I162/100</f>
        <v>1661.1736642533683</v>
      </c>
      <c r="M162" s="186">
        <f>L162/J162/K162</f>
        <v>0.59676922881815864</v>
      </c>
      <c r="N162" s="186">
        <f>L162/J$162/K$162</f>
        <v>0.59676922881815864</v>
      </c>
      <c r="O162" s="18"/>
      <c r="P162" s="19">
        <v>1000</v>
      </c>
    </row>
    <row r="163" spans="1:16" ht="13.95" customHeight="1">
      <c r="A163" s="333" t="s">
        <v>707</v>
      </c>
      <c r="B163" s="350">
        <v>72007</v>
      </c>
      <c r="C163" s="165">
        <v>12</v>
      </c>
      <c r="D163" s="165">
        <v>24</v>
      </c>
      <c r="E163" s="158">
        <f t="shared" ref="E163:E166" si="132">D163/C163</f>
        <v>2</v>
      </c>
      <c r="F163" s="10">
        <f>F162*E163</f>
        <v>2</v>
      </c>
      <c r="G163" s="162"/>
      <c r="H163" s="163"/>
      <c r="I163" s="12">
        <f t="shared" ref="I163:I164" si="133">I162*E163*M163</f>
        <v>30.4</v>
      </c>
      <c r="J163" s="163"/>
      <c r="K163" s="162"/>
      <c r="L163" s="12">
        <f t="shared" ref="L163:L165" si="134">L162*M163</f>
        <v>1578.1149810406998</v>
      </c>
      <c r="M163" s="187">
        <v>0.95</v>
      </c>
      <c r="N163" s="187">
        <f t="shared" ref="N163:N164" si="135">N162*M163</f>
        <v>0.56693076737725068</v>
      </c>
      <c r="O163" s="164"/>
      <c r="P163" s="161"/>
    </row>
    <row r="164" spans="1:16">
      <c r="A164" s="348"/>
      <c r="B164" s="351"/>
      <c r="C164" s="165">
        <v>12</v>
      </c>
      <c r="D164" s="165">
        <v>36</v>
      </c>
      <c r="E164" s="158">
        <f t="shared" si="132"/>
        <v>3</v>
      </c>
      <c r="F164" s="10">
        <f t="shared" ref="F164:F166" si="136">F163*E164</f>
        <v>6</v>
      </c>
      <c r="G164" s="162"/>
      <c r="H164" s="163"/>
      <c r="I164" s="12">
        <f t="shared" si="133"/>
        <v>85.72799999999998</v>
      </c>
      <c r="J164" s="163"/>
      <c r="K164" s="162"/>
      <c r="L164" s="12">
        <f t="shared" si="134"/>
        <v>1483.4280821782577</v>
      </c>
      <c r="M164" s="187">
        <v>0.94</v>
      </c>
      <c r="N164" s="187">
        <f t="shared" si="135"/>
        <v>0.5329149213346156</v>
      </c>
      <c r="O164" s="164"/>
      <c r="P164" s="161"/>
    </row>
    <row r="165" spans="1:16">
      <c r="A165" s="348"/>
      <c r="B165" s="351"/>
      <c r="C165" s="165">
        <v>14</v>
      </c>
      <c r="D165" s="165">
        <v>36</v>
      </c>
      <c r="E165" s="158">
        <f t="shared" si="132"/>
        <v>2.5714285714285716</v>
      </c>
      <c r="F165" s="10">
        <f t="shared" si="136"/>
        <v>15.428571428571431</v>
      </c>
      <c r="G165" s="162"/>
      <c r="H165" s="163"/>
      <c r="I165" s="12">
        <f>I164*E165*M165</f>
        <v>209.42125714285712</v>
      </c>
      <c r="J165" s="163"/>
      <c r="K165" s="162"/>
      <c r="L165" s="12">
        <f t="shared" si="134"/>
        <v>1409.2566780693448</v>
      </c>
      <c r="M165" s="187">
        <f>M163</f>
        <v>0.95</v>
      </c>
      <c r="N165" s="187">
        <f>N164*M165</f>
        <v>0.50626917526788484</v>
      </c>
      <c r="O165" s="164"/>
      <c r="P165" s="161"/>
    </row>
    <row r="166" spans="1:16">
      <c r="A166" s="348"/>
      <c r="B166" s="351"/>
      <c r="C166" s="165">
        <v>10</v>
      </c>
      <c r="D166" s="165">
        <v>40</v>
      </c>
      <c r="E166" s="158">
        <f t="shared" si="132"/>
        <v>4</v>
      </c>
      <c r="F166" s="10">
        <f t="shared" si="136"/>
        <v>61.714285714285722</v>
      </c>
      <c r="G166" s="162">
        <v>163</v>
      </c>
      <c r="H166" s="163">
        <v>752</v>
      </c>
      <c r="I166" s="12">
        <f>I165*E166*M166</f>
        <v>753.91652571428563</v>
      </c>
      <c r="J166" s="163"/>
      <c r="K166" s="162"/>
      <c r="L166" s="12">
        <f t="shared" ref="L166:L167" si="137">L165*M166</f>
        <v>1268.3310102624105</v>
      </c>
      <c r="M166" s="187">
        <v>0.9</v>
      </c>
      <c r="N166" s="187">
        <f>N165*M166</f>
        <v>0.45564225774109635</v>
      </c>
      <c r="O166" s="9" t="s">
        <v>694</v>
      </c>
      <c r="P166" s="161">
        <f>P$162/$F166</f>
        <v>16.203703703703702</v>
      </c>
    </row>
    <row r="167" spans="1:16" ht="15" thickBot="1">
      <c r="A167" s="349"/>
      <c r="B167" s="352"/>
      <c r="C167" s="165">
        <v>14</v>
      </c>
      <c r="D167" s="165">
        <v>36</v>
      </c>
      <c r="E167" s="156">
        <f>D167/C167</f>
        <v>2.5714285714285716</v>
      </c>
      <c r="F167" s="23">
        <f>F165*E167</f>
        <v>39.673469387755112</v>
      </c>
      <c r="G167" s="11">
        <v>255</v>
      </c>
      <c r="H167" s="12">
        <v>508</v>
      </c>
      <c r="I167" s="25">
        <f>I165*E167*M167</f>
        <v>511.58621387755096</v>
      </c>
      <c r="J167" s="12"/>
      <c r="K167" s="11"/>
      <c r="L167" s="25">
        <f t="shared" si="137"/>
        <v>1204.9144597492898</v>
      </c>
      <c r="M167" s="188">
        <f>M163</f>
        <v>0.95</v>
      </c>
      <c r="N167" s="188">
        <f>N165*M167</f>
        <v>0.48095571650449059</v>
      </c>
      <c r="O167" s="9" t="s">
        <v>695</v>
      </c>
      <c r="P167" s="10">
        <f>P$162/$F167</f>
        <v>25.205761316872422</v>
      </c>
    </row>
    <row r="168" spans="1:16">
      <c r="A168" s="182" t="s">
        <v>21</v>
      </c>
      <c r="B168" s="18">
        <v>1155</v>
      </c>
      <c r="C168" s="149"/>
      <c r="D168" s="149"/>
      <c r="E168" s="155"/>
      <c r="F168" s="19">
        <v>1</v>
      </c>
      <c r="G168" s="20">
        <f>F173*G173</f>
        <v>10092.930612244896</v>
      </c>
      <c r="H168" s="21"/>
      <c r="I168" s="21">
        <v>16</v>
      </c>
      <c r="J168" s="21">
        <f>G168/4336+0.59*K168/1000</f>
        <v>2.8941053995029744</v>
      </c>
      <c r="K168" s="20">
        <f>I168*50+160</f>
        <v>960</v>
      </c>
      <c r="L168" s="21">
        <f>9.8*2*PI()*G168/60*I168/100</f>
        <v>1657.2650203374774</v>
      </c>
      <c r="M168" s="186">
        <f>L168/J168/K168</f>
        <v>0.59649442270301511</v>
      </c>
      <c r="N168" s="186">
        <f>L168/J$168/K$168</f>
        <v>0.59649442270301511</v>
      </c>
      <c r="O168" s="18"/>
      <c r="P168" s="19"/>
    </row>
    <row r="169" spans="1:16">
      <c r="A169" s="333" t="s">
        <v>708</v>
      </c>
      <c r="B169" s="350">
        <v>72007</v>
      </c>
      <c r="C169" s="165">
        <v>10</v>
      </c>
      <c r="D169" s="165">
        <v>24</v>
      </c>
      <c r="E169" s="158">
        <f t="shared" ref="E169:E172" si="138">D169/C169</f>
        <v>2.4</v>
      </c>
      <c r="F169" s="10">
        <f>F168*E169</f>
        <v>2.4</v>
      </c>
      <c r="G169" s="162"/>
      <c r="H169" s="163"/>
      <c r="I169" s="12">
        <f t="shared" ref="I169:I170" si="139">I168*E169*M169</f>
        <v>36.479999999999997</v>
      </c>
      <c r="J169" s="163"/>
      <c r="K169" s="162"/>
      <c r="L169" s="12">
        <f t="shared" ref="L169:L171" si="140">L168*M169</f>
        <v>1574.4017693206035</v>
      </c>
      <c r="M169" s="187">
        <v>0.95</v>
      </c>
      <c r="N169" s="187">
        <f t="shared" ref="N169:N170" si="141">N168*M169</f>
        <v>0.56666970156786434</v>
      </c>
      <c r="O169" s="164"/>
      <c r="P169" s="161"/>
    </row>
    <row r="170" spans="1:16">
      <c r="A170" s="331"/>
      <c r="B170" s="351"/>
      <c r="C170" s="165">
        <v>12</v>
      </c>
      <c r="D170" s="165">
        <v>36</v>
      </c>
      <c r="E170" s="158">
        <f t="shared" si="138"/>
        <v>3</v>
      </c>
      <c r="F170" s="10">
        <f t="shared" ref="F170:F172" si="142">F169*E170</f>
        <v>7.1999999999999993</v>
      </c>
      <c r="G170" s="162"/>
      <c r="H170" s="163"/>
      <c r="I170" s="12">
        <f t="shared" si="139"/>
        <v>101.7792</v>
      </c>
      <c r="J170" s="163"/>
      <c r="K170" s="162"/>
      <c r="L170" s="12">
        <f t="shared" si="140"/>
        <v>1464.1936454681613</v>
      </c>
      <c r="M170" s="187">
        <v>0.93</v>
      </c>
      <c r="N170" s="187">
        <f t="shared" si="141"/>
        <v>0.52700282245811381</v>
      </c>
      <c r="O170" s="164"/>
      <c r="P170" s="161"/>
    </row>
    <row r="171" spans="1:16">
      <c r="A171" s="331"/>
      <c r="B171" s="351"/>
      <c r="C171" s="165">
        <v>14</v>
      </c>
      <c r="D171" s="165">
        <v>36</v>
      </c>
      <c r="E171" s="158">
        <f t="shared" si="138"/>
        <v>2.5714285714285716</v>
      </c>
      <c r="F171" s="10">
        <f t="shared" si="142"/>
        <v>18.514285714285712</v>
      </c>
      <c r="G171" s="162"/>
      <c r="H171" s="163"/>
      <c r="I171" s="12">
        <f>I170*E171*M171</f>
        <v>248.63204571428571</v>
      </c>
      <c r="J171" s="163"/>
      <c r="K171" s="162"/>
      <c r="L171" s="12">
        <f t="shared" si="140"/>
        <v>1390.9839631947532</v>
      </c>
      <c r="M171" s="187">
        <f>M169</f>
        <v>0.95</v>
      </c>
      <c r="N171" s="187">
        <f>N170*M171</f>
        <v>0.50065268133520813</v>
      </c>
      <c r="O171" s="164"/>
      <c r="P171" s="161"/>
    </row>
    <row r="172" spans="1:16">
      <c r="A172" s="331"/>
      <c r="B172" s="351"/>
      <c r="C172" s="165">
        <v>10</v>
      </c>
      <c r="D172" s="165">
        <v>40</v>
      </c>
      <c r="E172" s="158">
        <f t="shared" si="138"/>
        <v>4</v>
      </c>
      <c r="F172" s="10">
        <f t="shared" si="142"/>
        <v>74.05714285714285</v>
      </c>
      <c r="G172" s="162">
        <v>136</v>
      </c>
      <c r="H172" s="163">
        <v>876</v>
      </c>
      <c r="I172" s="12">
        <f>I171*E172*M172</f>
        <v>895.07536457142862</v>
      </c>
      <c r="J172" s="163"/>
      <c r="K172" s="162"/>
      <c r="L172" s="12">
        <f t="shared" ref="L172:L173" si="143">L171*M172</f>
        <v>1251.8855668752778</v>
      </c>
      <c r="M172" s="187">
        <v>0.9</v>
      </c>
      <c r="N172" s="187">
        <f>N171*M172</f>
        <v>0.45058741320168733</v>
      </c>
      <c r="O172" s="9" t="s">
        <v>694</v>
      </c>
      <c r="P172" s="161">
        <f>P$162/$F172</f>
        <v>13.503086419753087</v>
      </c>
    </row>
    <row r="173" spans="1:16" ht="15" thickBot="1">
      <c r="A173" s="332"/>
      <c r="B173" s="352"/>
      <c r="C173" s="165">
        <v>14</v>
      </c>
      <c r="D173" s="165">
        <v>36</v>
      </c>
      <c r="E173" s="156">
        <f>D173/C173</f>
        <v>2.5714285714285716</v>
      </c>
      <c r="F173" s="23">
        <f>F171*E173</f>
        <v>47.608163265306118</v>
      </c>
      <c r="G173" s="11">
        <v>212</v>
      </c>
      <c r="H173" s="12">
        <v>588</v>
      </c>
      <c r="I173" s="25">
        <f>I171*E173*M173</f>
        <v>607.37256881632663</v>
      </c>
      <c r="J173" s="12"/>
      <c r="K173" s="11"/>
      <c r="L173" s="25">
        <f t="shared" si="143"/>
        <v>1189.2912885315138</v>
      </c>
      <c r="M173" s="188">
        <f>M169</f>
        <v>0.95</v>
      </c>
      <c r="N173" s="188">
        <f>N171*M173</f>
        <v>0.4756200472684477</v>
      </c>
      <c r="O173" s="9" t="s">
        <v>695</v>
      </c>
      <c r="P173" s="10">
        <f>P$162/$F173</f>
        <v>21.004801097393692</v>
      </c>
    </row>
    <row r="174" spans="1:16">
      <c r="A174" s="182" t="s">
        <v>21</v>
      </c>
      <c r="B174" s="18">
        <v>1155</v>
      </c>
      <c r="C174" s="149"/>
      <c r="D174" s="149"/>
      <c r="E174" s="155"/>
      <c r="F174" s="19">
        <v>1</v>
      </c>
      <c r="G174" s="20">
        <f>F176*G176</f>
        <v>10080</v>
      </c>
      <c r="H174" s="21"/>
      <c r="I174" s="21">
        <v>16</v>
      </c>
      <c r="J174" s="21">
        <f>G174/4336+0.59*K174/1000</f>
        <v>2.8911232472324722</v>
      </c>
      <c r="K174" s="20">
        <f>I174*50+160</f>
        <v>960</v>
      </c>
      <c r="L174" s="21">
        <f>9.8*2*PI()*G174/60*I174/100</f>
        <v>1655.1418063584756</v>
      </c>
      <c r="M174" s="186">
        <f>L174/J174/K174</f>
        <v>0.59634470787105986</v>
      </c>
      <c r="N174" s="186">
        <f>L174/J$174/K$174</f>
        <v>0.59634470787105986</v>
      </c>
      <c r="O174" s="18"/>
      <c r="P174" s="19">
        <v>1000</v>
      </c>
    </row>
    <row r="175" spans="1:16">
      <c r="A175" s="330" t="s">
        <v>12</v>
      </c>
      <c r="B175" s="316">
        <v>72008</v>
      </c>
      <c r="C175" s="165">
        <v>1</v>
      </c>
      <c r="D175" s="165">
        <v>28</v>
      </c>
      <c r="E175" s="158">
        <f t="shared" ref="E175:E178" si="144">D175/C175</f>
        <v>28</v>
      </c>
      <c r="F175" s="10">
        <f t="shared" ref="F175:F177" si="145">F174*E175</f>
        <v>28</v>
      </c>
      <c r="G175" s="162"/>
      <c r="H175" s="163"/>
      <c r="I175" s="12">
        <f t="shared" ref="I175:I177" si="146">I174*E175*M175</f>
        <v>201.6</v>
      </c>
      <c r="J175" s="163"/>
      <c r="K175" s="162"/>
      <c r="L175" s="12">
        <f t="shared" ref="L175:L177" si="147">L174*M175</f>
        <v>744.81381286131409</v>
      </c>
      <c r="M175" s="187">
        <v>0.45</v>
      </c>
      <c r="N175" s="187">
        <f t="shared" ref="N175:N177" si="148">N174*M175</f>
        <v>0.26835511854197697</v>
      </c>
      <c r="O175" s="164"/>
      <c r="P175" s="161"/>
    </row>
    <row r="176" spans="1:16">
      <c r="A176" s="331"/>
      <c r="B176" s="317"/>
      <c r="C176" s="157">
        <v>12</v>
      </c>
      <c r="D176" s="157">
        <v>36</v>
      </c>
      <c r="E176" s="158">
        <f t="shared" si="144"/>
        <v>3</v>
      </c>
      <c r="F176" s="10">
        <f t="shared" si="145"/>
        <v>84</v>
      </c>
      <c r="G176" s="11">
        <v>120</v>
      </c>
      <c r="H176" s="12">
        <v>1071</v>
      </c>
      <c r="I176" s="12">
        <f t="shared" si="146"/>
        <v>574.55999999999995</v>
      </c>
      <c r="J176" s="12"/>
      <c r="K176" s="11"/>
      <c r="L176" s="12">
        <f t="shared" si="147"/>
        <v>707.57312221824839</v>
      </c>
      <c r="M176" s="187">
        <v>0.95</v>
      </c>
      <c r="N176" s="187">
        <f t="shared" si="148"/>
        <v>0.25493736261487809</v>
      </c>
      <c r="O176" s="9" t="s">
        <v>25</v>
      </c>
      <c r="P176" s="10">
        <f>P$174/$F176</f>
        <v>11.904761904761905</v>
      </c>
    </row>
    <row r="177" spans="1:16">
      <c r="A177" s="331"/>
      <c r="B177" s="317"/>
      <c r="C177" s="157">
        <v>14</v>
      </c>
      <c r="D177" s="157">
        <v>36</v>
      </c>
      <c r="E177" s="158">
        <f t="shared" si="144"/>
        <v>2.5714285714285716</v>
      </c>
      <c r="F177" s="10">
        <f t="shared" si="145"/>
        <v>216.00000000000003</v>
      </c>
      <c r="G177" s="11">
        <v>47</v>
      </c>
      <c r="H177" s="12">
        <v>1468</v>
      </c>
      <c r="I177" s="12">
        <f t="shared" si="146"/>
        <v>1403.568</v>
      </c>
      <c r="J177" s="12"/>
      <c r="K177" s="11"/>
      <c r="L177" s="12">
        <f t="shared" si="147"/>
        <v>672.19446610733598</v>
      </c>
      <c r="M177" s="187">
        <f>M176</f>
        <v>0.95</v>
      </c>
      <c r="N177" s="187">
        <f t="shared" si="148"/>
        <v>0.24219049448413418</v>
      </c>
      <c r="O177" s="9"/>
      <c r="P177" s="10">
        <f>P$174/$F177</f>
        <v>4.6296296296296289</v>
      </c>
    </row>
    <row r="178" spans="1:16">
      <c r="A178" s="331"/>
      <c r="B178" s="317"/>
      <c r="C178" s="157">
        <v>14</v>
      </c>
      <c r="D178" s="157">
        <v>36</v>
      </c>
      <c r="E178" s="158">
        <f t="shared" si="144"/>
        <v>2.5714285714285716</v>
      </c>
      <c r="F178" s="10">
        <f t="shared" ref="F178" si="149">F177*E178</f>
        <v>555.42857142857156</v>
      </c>
      <c r="G178" s="11">
        <v>18</v>
      </c>
      <c r="H178" s="12">
        <v>2306</v>
      </c>
      <c r="I178" s="12">
        <f>I177*E178*M178</f>
        <v>3428.7161142857144</v>
      </c>
      <c r="J178" s="12"/>
      <c r="K178" s="11"/>
      <c r="L178" s="12">
        <f t="shared" ref="L178:L179" si="150">L177*M178</f>
        <v>638.58474280196913</v>
      </c>
      <c r="M178" s="187">
        <f>M176</f>
        <v>0.95</v>
      </c>
      <c r="N178" s="187">
        <f>N177*M178</f>
        <v>0.23008096975992745</v>
      </c>
      <c r="O178" s="9" t="s">
        <v>24</v>
      </c>
      <c r="P178" s="10">
        <f>P$174/$F178</f>
        <v>1.8004115226337445</v>
      </c>
    </row>
    <row r="179" spans="1:16" ht="15" thickBot="1">
      <c r="A179" s="332"/>
      <c r="B179" s="318"/>
      <c r="C179" s="152">
        <v>14</v>
      </c>
      <c r="D179" s="152">
        <v>36</v>
      </c>
      <c r="E179" s="156">
        <f>D179/C179</f>
        <v>2.5714285714285716</v>
      </c>
      <c r="F179" s="23">
        <f>F178*E179</f>
        <v>1428.2448979591841</v>
      </c>
      <c r="G179" s="24">
        <v>7</v>
      </c>
      <c r="H179" s="25">
        <v>2306</v>
      </c>
      <c r="I179" s="25">
        <f>I178*E179*M179</f>
        <v>8375.8636506122457</v>
      </c>
      <c r="J179" s="25"/>
      <c r="K179" s="24"/>
      <c r="L179" s="25">
        <f t="shared" si="150"/>
        <v>606.65550566187062</v>
      </c>
      <c r="M179" s="188">
        <f>M176</f>
        <v>0.95</v>
      </c>
      <c r="N179" s="188">
        <f>N178*M179</f>
        <v>0.21857692127193107</v>
      </c>
      <c r="O179" s="22" t="s">
        <v>24</v>
      </c>
      <c r="P179" s="23">
        <f>P$174/$F179</f>
        <v>0.70016003657978942</v>
      </c>
    </row>
    <row r="180" spans="1:16">
      <c r="A180" s="183" t="s">
        <v>28</v>
      </c>
      <c r="B180" s="18">
        <v>945</v>
      </c>
      <c r="C180" s="149"/>
      <c r="D180" s="149"/>
      <c r="E180" s="155"/>
      <c r="F180" s="19">
        <v>1</v>
      </c>
      <c r="G180" s="20">
        <v>6060</v>
      </c>
      <c r="H180" s="21"/>
      <c r="I180" s="21">
        <v>21.7</v>
      </c>
      <c r="J180" s="18">
        <v>4.5</v>
      </c>
      <c r="K180" s="18">
        <v>450</v>
      </c>
      <c r="L180" s="21">
        <f>9.8*2*PI()*G180/60*I180/100</f>
        <v>1349.5440092990591</v>
      </c>
      <c r="M180" s="186">
        <f>L180/J180/K180</f>
        <v>0.66644148607360942</v>
      </c>
      <c r="N180" s="186">
        <f>L180/J$174/K$174</f>
        <v>0.48623835425632511</v>
      </c>
      <c r="O180" s="18" t="s">
        <v>30</v>
      </c>
      <c r="P180" s="19">
        <v>906.66666666666663</v>
      </c>
    </row>
    <row r="181" spans="1:16">
      <c r="A181" s="310" t="s">
        <v>29</v>
      </c>
      <c r="B181" s="313"/>
      <c r="C181" s="165">
        <v>14</v>
      </c>
      <c r="D181" s="165">
        <v>20</v>
      </c>
      <c r="E181" s="158">
        <f t="shared" ref="E181:E188" si="151">D181/C181</f>
        <v>1.4285714285714286</v>
      </c>
      <c r="F181" s="10">
        <f t="shared" ref="F181:F189" si="152">F180*E181</f>
        <v>1.4285714285714286</v>
      </c>
      <c r="G181" s="162"/>
      <c r="H181" s="163"/>
      <c r="I181" s="12">
        <f t="shared" ref="I181:I188" si="153">I180*E181*M181</f>
        <v>29.45</v>
      </c>
      <c r="J181" s="164"/>
      <c r="K181" s="164"/>
      <c r="L181" s="12">
        <f t="shared" ref="L181:L188" si="154">L180*M181</f>
        <v>1282.066808834106</v>
      </c>
      <c r="M181" s="187">
        <v>0.95</v>
      </c>
      <c r="N181" s="187">
        <f t="shared" ref="N181:N188" si="155">N180*M181</f>
        <v>0.46192643654350884</v>
      </c>
      <c r="O181" s="164"/>
      <c r="P181" s="161"/>
    </row>
    <row r="182" spans="1:16">
      <c r="A182" s="311"/>
      <c r="B182" s="314"/>
      <c r="C182" s="165">
        <v>12</v>
      </c>
      <c r="D182" s="165">
        <v>28</v>
      </c>
      <c r="E182" s="158">
        <f t="shared" si="151"/>
        <v>2.3333333333333335</v>
      </c>
      <c r="F182" s="10">
        <f t="shared" si="152"/>
        <v>3.3333333333333335</v>
      </c>
      <c r="G182" s="162"/>
      <c r="H182" s="163"/>
      <c r="I182" s="12">
        <f t="shared" si="153"/>
        <v>65.280833333333334</v>
      </c>
      <c r="J182" s="164"/>
      <c r="K182" s="164"/>
      <c r="L182" s="12">
        <f t="shared" si="154"/>
        <v>1217.9634683924007</v>
      </c>
      <c r="M182" s="187">
        <v>0.95</v>
      </c>
      <c r="N182" s="187">
        <f t="shared" si="155"/>
        <v>0.43883011471633337</v>
      </c>
      <c r="O182" s="164"/>
      <c r="P182" s="161"/>
    </row>
    <row r="183" spans="1:16">
      <c r="A183" s="311"/>
      <c r="B183" s="314"/>
      <c r="C183" s="157">
        <v>12</v>
      </c>
      <c r="D183" s="157">
        <v>28</v>
      </c>
      <c r="E183" s="158">
        <f t="shared" si="151"/>
        <v>2.3333333333333335</v>
      </c>
      <c r="F183" s="10">
        <f t="shared" si="152"/>
        <v>7.7777777777777786</v>
      </c>
      <c r="G183" s="10">
        <f t="shared" ref="G183:G190" si="156">G$180/$F183</f>
        <v>779.14285714285711</v>
      </c>
      <c r="H183" s="12">
        <f t="shared" ref="H183:H190" si="157">E183*H$180</f>
        <v>0</v>
      </c>
      <c r="I183" s="12">
        <f t="shared" si="153"/>
        <v>144.70584722222222</v>
      </c>
      <c r="J183" s="9"/>
      <c r="K183" s="9"/>
      <c r="L183" s="12">
        <f t="shared" si="154"/>
        <v>1157.0652949727807</v>
      </c>
      <c r="M183" s="187">
        <v>0.95</v>
      </c>
      <c r="N183" s="187">
        <f t="shared" si="155"/>
        <v>0.41688860898051666</v>
      </c>
      <c r="O183" s="9"/>
      <c r="P183" s="10">
        <f t="shared" ref="P183:P190" si="158">P$180/$F183</f>
        <v>116.57142857142856</v>
      </c>
    </row>
    <row r="184" spans="1:16">
      <c r="A184" s="311"/>
      <c r="B184" s="314"/>
      <c r="C184" s="165">
        <v>12</v>
      </c>
      <c r="D184" s="165">
        <v>28</v>
      </c>
      <c r="E184" s="158">
        <f t="shared" si="151"/>
        <v>2.3333333333333335</v>
      </c>
      <c r="F184" s="10">
        <f t="shared" si="152"/>
        <v>18.148148148148152</v>
      </c>
      <c r="G184" s="10">
        <f t="shared" si="156"/>
        <v>333.91836734693868</v>
      </c>
      <c r="H184" s="12">
        <f t="shared" si="157"/>
        <v>0</v>
      </c>
      <c r="I184" s="12">
        <f t="shared" si="153"/>
        <v>320.7646280092593</v>
      </c>
      <c r="J184" s="9"/>
      <c r="K184" s="9"/>
      <c r="L184" s="12">
        <f t="shared" si="154"/>
        <v>1099.2120302241417</v>
      </c>
      <c r="M184" s="187">
        <v>0.95</v>
      </c>
      <c r="N184" s="187">
        <f t="shared" si="155"/>
        <v>0.39604417853149082</v>
      </c>
      <c r="O184" s="9"/>
      <c r="P184" s="10">
        <f t="shared" si="158"/>
        <v>49.959183673469376</v>
      </c>
    </row>
    <row r="185" spans="1:16">
      <c r="A185" s="311"/>
      <c r="B185" s="314"/>
      <c r="C185" s="157">
        <v>12</v>
      </c>
      <c r="D185" s="157">
        <v>28</v>
      </c>
      <c r="E185" s="158">
        <f t="shared" si="151"/>
        <v>2.3333333333333335</v>
      </c>
      <c r="F185" s="10">
        <f t="shared" si="152"/>
        <v>42.345679012345691</v>
      </c>
      <c r="G185" s="10">
        <f t="shared" si="156"/>
        <v>143.10787172011658</v>
      </c>
      <c r="H185" s="12">
        <f t="shared" si="157"/>
        <v>0</v>
      </c>
      <c r="I185" s="12">
        <f t="shared" si="153"/>
        <v>711.02825875385815</v>
      </c>
      <c r="J185" s="9"/>
      <c r="K185" s="9"/>
      <c r="L185" s="12">
        <f t="shared" si="154"/>
        <v>1044.2514287129345</v>
      </c>
      <c r="M185" s="187">
        <v>0.95</v>
      </c>
      <c r="N185" s="187">
        <f t="shared" si="155"/>
        <v>0.37624196960491624</v>
      </c>
      <c r="O185" s="9"/>
      <c r="P185" s="10">
        <f t="shared" si="158"/>
        <v>21.411078717201161</v>
      </c>
    </row>
    <row r="186" spans="1:16">
      <c r="A186" s="311"/>
      <c r="B186" s="314"/>
      <c r="C186" s="165">
        <v>12</v>
      </c>
      <c r="D186" s="165">
        <v>28</v>
      </c>
      <c r="E186" s="158">
        <f t="shared" si="151"/>
        <v>2.3333333333333335</v>
      </c>
      <c r="F186" s="10">
        <f t="shared" si="152"/>
        <v>98.806584362139958</v>
      </c>
      <c r="G186" s="10">
        <f t="shared" si="156"/>
        <v>61.331945022907099</v>
      </c>
      <c r="H186" s="12">
        <f t="shared" si="157"/>
        <v>0</v>
      </c>
      <c r="I186" s="12">
        <f t="shared" si="153"/>
        <v>1576.112640237719</v>
      </c>
      <c r="J186" s="9"/>
      <c r="K186" s="9"/>
      <c r="L186" s="12">
        <f t="shared" si="154"/>
        <v>992.03885727728778</v>
      </c>
      <c r="M186" s="187">
        <v>0.95</v>
      </c>
      <c r="N186" s="187">
        <f t="shared" si="155"/>
        <v>0.3574298711246704</v>
      </c>
      <c r="O186" s="9"/>
      <c r="P186" s="10">
        <f t="shared" si="158"/>
        <v>9.1761765930862094</v>
      </c>
    </row>
    <row r="187" spans="1:16">
      <c r="A187" s="311"/>
      <c r="B187" s="314"/>
      <c r="C187" s="157">
        <v>12</v>
      </c>
      <c r="D187" s="157">
        <v>28</v>
      </c>
      <c r="E187" s="158">
        <f t="shared" si="151"/>
        <v>2.3333333333333335</v>
      </c>
      <c r="F187" s="10">
        <f t="shared" si="152"/>
        <v>230.54869684499326</v>
      </c>
      <c r="G187" s="10">
        <f t="shared" si="156"/>
        <v>26.285119295531612</v>
      </c>
      <c r="H187" s="12">
        <f t="shared" si="157"/>
        <v>0</v>
      </c>
      <c r="I187" s="12">
        <f t="shared" si="153"/>
        <v>3493.7163525269439</v>
      </c>
      <c r="J187" s="9"/>
      <c r="K187" s="9"/>
      <c r="L187" s="12">
        <f t="shared" si="154"/>
        <v>942.43691441342332</v>
      </c>
      <c r="M187" s="187">
        <v>0.95</v>
      </c>
      <c r="N187" s="187">
        <f t="shared" si="155"/>
        <v>0.33955837756843688</v>
      </c>
      <c r="O187" s="9"/>
      <c r="P187" s="10">
        <f t="shared" si="158"/>
        <v>3.9326471113226611</v>
      </c>
    </row>
    <row r="188" spans="1:16">
      <c r="A188" s="311"/>
      <c r="B188" s="314"/>
      <c r="C188" s="165">
        <v>12</v>
      </c>
      <c r="D188" s="165">
        <v>28</v>
      </c>
      <c r="E188" s="158">
        <f t="shared" si="151"/>
        <v>2.3333333333333335</v>
      </c>
      <c r="F188" s="10">
        <f t="shared" si="152"/>
        <v>537.94695930498426</v>
      </c>
      <c r="G188" s="10">
        <f t="shared" si="156"/>
        <v>11.265051126656404</v>
      </c>
      <c r="H188" s="12">
        <f t="shared" si="157"/>
        <v>0</v>
      </c>
      <c r="I188" s="12">
        <f t="shared" si="153"/>
        <v>7744.4045814347255</v>
      </c>
      <c r="J188" s="9"/>
      <c r="K188" s="9"/>
      <c r="L188" s="12">
        <f t="shared" si="154"/>
        <v>895.31506869275211</v>
      </c>
      <c r="M188" s="187">
        <v>0.95</v>
      </c>
      <c r="N188" s="187">
        <f t="shared" si="155"/>
        <v>0.322580458690015</v>
      </c>
      <c r="O188" s="9"/>
      <c r="P188" s="10">
        <f t="shared" si="158"/>
        <v>1.6854201905668547</v>
      </c>
    </row>
    <row r="189" spans="1:16">
      <c r="A189" s="311"/>
      <c r="B189" s="314"/>
      <c r="C189" s="157">
        <v>12</v>
      </c>
      <c r="D189" s="157">
        <v>28</v>
      </c>
      <c r="E189" s="158">
        <f t="shared" ref="E189" si="159">D189/C189</f>
        <v>2.3333333333333335</v>
      </c>
      <c r="F189" s="10">
        <f t="shared" si="152"/>
        <v>1255.2095717116301</v>
      </c>
      <c r="G189" s="10">
        <f t="shared" si="156"/>
        <v>4.8278790542813157</v>
      </c>
      <c r="H189" s="12">
        <f t="shared" si="157"/>
        <v>0</v>
      </c>
      <c r="I189" s="12">
        <f>I188*E189*M189</f>
        <v>17166.763488846977</v>
      </c>
      <c r="J189" s="9"/>
      <c r="K189" s="9"/>
      <c r="L189" s="12">
        <f t="shared" ref="L189:L190" si="160">L188*M189</f>
        <v>850.54931525811446</v>
      </c>
      <c r="M189" s="187">
        <v>0.95</v>
      </c>
      <c r="N189" s="187">
        <f>N188*M189</f>
        <v>0.30645143575551426</v>
      </c>
      <c r="O189" s="9"/>
      <c r="P189" s="10">
        <f t="shared" si="158"/>
        <v>0.72232293881436616</v>
      </c>
    </row>
    <row r="190" spans="1:16" ht="15" thickBot="1">
      <c r="A190" s="312"/>
      <c r="B190" s="315"/>
      <c r="C190" s="152">
        <v>12</v>
      </c>
      <c r="D190" s="152">
        <v>28</v>
      </c>
      <c r="E190" s="156">
        <f>D190/C190</f>
        <v>2.3333333333333335</v>
      </c>
      <c r="F190" s="23">
        <f>F189*E190</f>
        <v>2928.822333993804</v>
      </c>
      <c r="G190" s="23">
        <f t="shared" si="156"/>
        <v>2.0690910232634208</v>
      </c>
      <c r="H190" s="25">
        <f t="shared" si="157"/>
        <v>0</v>
      </c>
      <c r="I190" s="25">
        <f>I189*E190*M190</f>
        <v>38052.992400277464</v>
      </c>
      <c r="J190" s="22"/>
      <c r="K190" s="22"/>
      <c r="L190" s="25">
        <f t="shared" si="160"/>
        <v>808.0218494952087</v>
      </c>
      <c r="M190" s="188">
        <v>0.95</v>
      </c>
      <c r="N190" s="188">
        <f>N189*M190</f>
        <v>0.29112886396773852</v>
      </c>
      <c r="O190" s="22"/>
      <c r="P190" s="23">
        <f t="shared" si="158"/>
        <v>0.30956697377758546</v>
      </c>
    </row>
    <row r="191" spans="1:16">
      <c r="A191" s="182" t="s">
        <v>746</v>
      </c>
      <c r="B191" s="18">
        <v>860</v>
      </c>
      <c r="C191" s="149"/>
      <c r="D191" s="149"/>
      <c r="E191" s="155"/>
      <c r="F191" s="19">
        <v>1</v>
      </c>
      <c r="G191" s="20">
        <f>F195*G195</f>
        <v>5049</v>
      </c>
      <c r="H191" s="21"/>
      <c r="I191" s="21">
        <v>6.5</v>
      </c>
      <c r="J191" s="21">
        <v>3</v>
      </c>
      <c r="K191" s="20">
        <v>200</v>
      </c>
      <c r="L191" s="21">
        <f>9.8*2*PI()*G191/60*I191/100</f>
        <v>336.8010377726664</v>
      </c>
      <c r="M191" s="186">
        <f>L191/J191/K191</f>
        <v>0.56133506295444402</v>
      </c>
      <c r="N191" s="186">
        <f>L191/J$191/K$191</f>
        <v>0.56133506295444402</v>
      </c>
      <c r="O191" s="18"/>
      <c r="P191" s="19">
        <v>720</v>
      </c>
    </row>
    <row r="192" spans="1:16">
      <c r="A192" s="319" t="s">
        <v>747</v>
      </c>
      <c r="B192" s="316">
        <v>70203</v>
      </c>
      <c r="C192" s="157">
        <v>8</v>
      </c>
      <c r="D192" s="157">
        <v>34</v>
      </c>
      <c r="E192" s="158">
        <f>D192/C192</f>
        <v>4.25</v>
      </c>
      <c r="F192" s="10">
        <f>F191*E192</f>
        <v>4.25</v>
      </c>
      <c r="G192" s="11"/>
      <c r="H192" s="12"/>
      <c r="I192" s="12">
        <f>I191*E192*M192</f>
        <v>24.862500000000001</v>
      </c>
      <c r="J192" s="12"/>
      <c r="K192" s="11"/>
      <c r="L192" s="12">
        <f>L191*M192</f>
        <v>303.12093399539975</v>
      </c>
      <c r="M192" s="187">
        <v>0.9</v>
      </c>
      <c r="N192" s="187">
        <f t="shared" ref="N192:N193" si="161">N191*M192</f>
        <v>0.50520155665899968</v>
      </c>
      <c r="O192" s="9"/>
      <c r="P192" s="10"/>
    </row>
    <row r="193" spans="1:16" ht="13.95" customHeight="1">
      <c r="A193" s="320"/>
      <c r="B193" s="317"/>
      <c r="C193" s="151">
        <v>12</v>
      </c>
      <c r="D193" s="151">
        <v>36</v>
      </c>
      <c r="E193" s="158">
        <f>D193/C193</f>
        <v>3</v>
      </c>
      <c r="F193" s="10">
        <f>F192*E193</f>
        <v>12.75</v>
      </c>
      <c r="G193" s="11">
        <v>394</v>
      </c>
      <c r="H193" s="12">
        <v>69.900000000000006</v>
      </c>
      <c r="I193" s="12">
        <f t="shared" ref="I193:I194" si="162">I192*E193*M193</f>
        <v>71.603999999999999</v>
      </c>
      <c r="J193" s="12"/>
      <c r="K193" s="11"/>
      <c r="L193" s="12">
        <f t="shared" ref="L193:L195" si="163">L192*M193</f>
        <v>290.99609663558374</v>
      </c>
      <c r="M193" s="188">
        <v>0.96</v>
      </c>
      <c r="N193" s="187">
        <f t="shared" si="161"/>
        <v>0.48499349439263967</v>
      </c>
      <c r="O193" s="9"/>
      <c r="P193" s="10">
        <f>P$191/$F193</f>
        <v>56.470588235294116</v>
      </c>
    </row>
    <row r="194" spans="1:16" ht="13.95" customHeight="1">
      <c r="A194" s="320"/>
      <c r="B194" s="317"/>
      <c r="C194" s="157">
        <v>12</v>
      </c>
      <c r="D194" s="157">
        <v>36</v>
      </c>
      <c r="E194" s="158">
        <f>D194/C194</f>
        <v>3</v>
      </c>
      <c r="F194" s="10">
        <f>F193*E194</f>
        <v>38.25</v>
      </c>
      <c r="G194" s="11">
        <v>131</v>
      </c>
      <c r="H194" s="12">
        <v>210.1</v>
      </c>
      <c r="I194" s="12">
        <f t="shared" si="162"/>
        <v>206.21952000000002</v>
      </c>
      <c r="J194" s="12"/>
      <c r="K194" s="11"/>
      <c r="L194" s="12">
        <f t="shared" si="163"/>
        <v>279.35625277016038</v>
      </c>
      <c r="M194" s="188">
        <v>0.96</v>
      </c>
      <c r="N194" s="187">
        <f>N193*M194</f>
        <v>0.46559375461693409</v>
      </c>
      <c r="O194" s="9"/>
      <c r="P194" s="10">
        <f>P$191/$F194</f>
        <v>18.823529411764707</v>
      </c>
    </row>
    <row r="195" spans="1:16" ht="15" thickBot="1">
      <c r="A195" s="321"/>
      <c r="B195" s="318"/>
      <c r="C195" s="152">
        <v>12</v>
      </c>
      <c r="D195" s="152">
        <v>36</v>
      </c>
      <c r="E195" s="156">
        <f>D195/C195</f>
        <v>3</v>
      </c>
      <c r="F195" s="23">
        <f>F194*E195</f>
        <v>114.75</v>
      </c>
      <c r="G195" s="24">
        <v>44</v>
      </c>
      <c r="H195" s="25">
        <v>630.9</v>
      </c>
      <c r="I195" s="25">
        <f>I194*E195*M195</f>
        <v>593.91221760000008</v>
      </c>
      <c r="J195" s="25"/>
      <c r="K195" s="24"/>
      <c r="L195" s="25">
        <f t="shared" si="163"/>
        <v>268.18200265935394</v>
      </c>
      <c r="M195" s="189">
        <v>0.96</v>
      </c>
      <c r="N195" s="188">
        <f>N194*M195</f>
        <v>0.44697000443225671</v>
      </c>
      <c r="O195" s="22"/>
      <c r="P195" s="23">
        <f>P$191/$F195</f>
        <v>6.2745098039215685</v>
      </c>
    </row>
    <row r="196" spans="1:16">
      <c r="A196" s="182" t="s">
        <v>20</v>
      </c>
      <c r="B196" s="18">
        <v>840</v>
      </c>
      <c r="C196" s="149"/>
      <c r="D196" s="149"/>
      <c r="E196" s="155"/>
      <c r="F196" s="19">
        <v>1</v>
      </c>
      <c r="G196" s="20">
        <f>F200*G200</f>
        <v>13237.65625</v>
      </c>
      <c r="H196" s="21"/>
      <c r="I196" s="21">
        <v>9</v>
      </c>
      <c r="J196" s="21">
        <f>G196/6355+0.68*K196/1000</f>
        <v>2.7086300944138473</v>
      </c>
      <c r="K196" s="20">
        <f>I196*80+200</f>
        <v>920</v>
      </c>
      <c r="L196" s="21">
        <f>9.8*2*PI()*G196/60*I196/100</f>
        <v>1222.6673145969623</v>
      </c>
      <c r="M196" s="186">
        <f>L196/J196/K196</f>
        <v>0.49064883915277935</v>
      </c>
      <c r="N196" s="186">
        <f>L196/J196/K196</f>
        <v>0.49064883915277935</v>
      </c>
      <c r="O196" s="18"/>
      <c r="P196" s="19">
        <v>1450</v>
      </c>
    </row>
    <row r="197" spans="1:16">
      <c r="A197" s="343" t="s">
        <v>756</v>
      </c>
      <c r="B197" s="316">
        <v>70097</v>
      </c>
      <c r="C197" s="157">
        <v>8</v>
      </c>
      <c r="D197" s="157">
        <v>38</v>
      </c>
      <c r="E197" s="158">
        <f t="shared" ref="E197:E202" si="164">D197/C197</f>
        <v>4.75</v>
      </c>
      <c r="F197" s="10">
        <f t="shared" ref="F197:F202" si="165">F196*E197</f>
        <v>4.75</v>
      </c>
      <c r="G197" s="11"/>
      <c r="H197" s="12"/>
      <c r="I197" s="12">
        <f>I196*E197*M197</f>
        <v>38.475000000000001</v>
      </c>
      <c r="J197" s="12"/>
      <c r="K197" s="11"/>
      <c r="L197" s="12">
        <f>L196*M197</f>
        <v>1100.400583137266</v>
      </c>
      <c r="M197" s="187">
        <v>0.9</v>
      </c>
      <c r="N197" s="187">
        <f t="shared" ref="N197" si="166">N196*M197</f>
        <v>0.44158395523750144</v>
      </c>
      <c r="O197" s="9"/>
      <c r="P197" s="10"/>
    </row>
    <row r="198" spans="1:16">
      <c r="A198" s="343"/>
      <c r="B198" s="317"/>
      <c r="C198" s="151">
        <v>12</v>
      </c>
      <c r="D198" s="151">
        <v>42</v>
      </c>
      <c r="E198" s="158">
        <f t="shared" si="164"/>
        <v>3.5</v>
      </c>
      <c r="F198" s="10">
        <f t="shared" si="165"/>
        <v>16.625</v>
      </c>
      <c r="G198" s="11">
        <v>795</v>
      </c>
      <c r="H198" s="12">
        <v>122</v>
      </c>
      <c r="I198" s="12">
        <f>I197*E198*M198</f>
        <v>125.236125</v>
      </c>
      <c r="J198" s="12"/>
      <c r="K198" s="11"/>
      <c r="L198" s="12">
        <f>L197*M198</f>
        <v>1023.3725423176575</v>
      </c>
      <c r="M198" s="188">
        <v>0.93</v>
      </c>
      <c r="N198" s="187">
        <f>N197*M198</f>
        <v>0.41067307837087635</v>
      </c>
      <c r="O198" s="9"/>
      <c r="P198" s="10">
        <f>P$2/$F198</f>
        <v>87.218045112781951</v>
      </c>
    </row>
    <row r="199" spans="1:16">
      <c r="A199" s="343"/>
      <c r="B199" s="317"/>
      <c r="C199" s="157">
        <v>12</v>
      </c>
      <c r="D199" s="157">
        <v>42</v>
      </c>
      <c r="E199" s="158">
        <f t="shared" si="164"/>
        <v>3.5</v>
      </c>
      <c r="F199" s="10">
        <f t="shared" si="165"/>
        <v>58.1875</v>
      </c>
      <c r="G199" s="11">
        <v>227</v>
      </c>
      <c r="H199" s="12">
        <v>419</v>
      </c>
      <c r="I199" s="12">
        <f t="shared" ref="I199" si="167">I198*E199*M199</f>
        <v>407.64358687500004</v>
      </c>
      <c r="J199" s="12"/>
      <c r="K199" s="11"/>
      <c r="L199" s="12">
        <f t="shared" ref="L199" si="168">L198*M199</f>
        <v>951.7364643554215</v>
      </c>
      <c r="M199" s="188">
        <v>0.93</v>
      </c>
      <c r="N199" s="187">
        <f>N198*M199</f>
        <v>0.38192596288491504</v>
      </c>
      <c r="O199" s="9"/>
      <c r="P199" s="10">
        <f>P$2/$F199</f>
        <v>24.919441460794843</v>
      </c>
    </row>
    <row r="200" spans="1:16">
      <c r="A200" s="343"/>
      <c r="B200" s="317"/>
      <c r="C200" s="151">
        <v>12</v>
      </c>
      <c r="D200" s="151">
        <v>42</v>
      </c>
      <c r="E200" s="158">
        <f t="shared" si="164"/>
        <v>3.5</v>
      </c>
      <c r="F200" s="10">
        <f t="shared" si="165"/>
        <v>203.65625</v>
      </c>
      <c r="G200" s="11">
        <v>65</v>
      </c>
      <c r="H200" s="12">
        <v>1404</v>
      </c>
      <c r="I200" s="12">
        <f>I199*E200*M200</f>
        <v>1326.8798752781252</v>
      </c>
      <c r="J200" s="12"/>
      <c r="K200" s="11"/>
      <c r="L200" s="12">
        <f>L199*M200</f>
        <v>885.11491185054206</v>
      </c>
      <c r="M200" s="188">
        <v>0.93</v>
      </c>
      <c r="N200" s="187">
        <f>N199*M200</f>
        <v>0.35519114548297098</v>
      </c>
      <c r="O200" s="9"/>
      <c r="P200" s="10">
        <f>P$2/$F200</f>
        <v>7.1198404173699554</v>
      </c>
    </row>
    <row r="201" spans="1:16">
      <c r="A201" s="343"/>
      <c r="B201" s="317"/>
      <c r="C201" s="212">
        <v>12</v>
      </c>
      <c r="D201" s="212">
        <v>42</v>
      </c>
      <c r="E201" s="213">
        <f t="shared" si="164"/>
        <v>3.5</v>
      </c>
      <c r="F201" s="214">
        <f t="shared" si="165"/>
        <v>712.796875</v>
      </c>
      <c r="G201" s="11"/>
      <c r="H201" s="12"/>
      <c r="I201" s="12">
        <f t="shared" ref="I201" si="169">I200*E201*M201</f>
        <v>4318.9939940302975</v>
      </c>
      <c r="J201" s="12"/>
      <c r="K201" s="11"/>
      <c r="L201" s="12">
        <f t="shared" ref="L201:L202" si="170">L200*M201</f>
        <v>823.15686802100413</v>
      </c>
      <c r="M201" s="188">
        <v>0.93</v>
      </c>
      <c r="N201" s="187">
        <f>N200*M201</f>
        <v>0.33032776529916302</v>
      </c>
      <c r="O201" s="9"/>
      <c r="P201" s="10">
        <f>P$2/$F201</f>
        <v>2.0342401192485586</v>
      </c>
    </row>
    <row r="202" spans="1:16" ht="15" thickBot="1">
      <c r="A202" s="344"/>
      <c r="B202" s="318"/>
      <c r="C202" s="215">
        <v>12</v>
      </c>
      <c r="D202" s="215">
        <v>42</v>
      </c>
      <c r="E202" s="216">
        <f t="shared" si="164"/>
        <v>3.5</v>
      </c>
      <c r="F202" s="217">
        <f t="shared" si="165"/>
        <v>2494.7890625</v>
      </c>
      <c r="G202" s="24"/>
      <c r="H202" s="25"/>
      <c r="I202" s="25">
        <f>I201*E202*M202</f>
        <v>14058.325450568618</v>
      </c>
      <c r="J202" s="25"/>
      <c r="K202" s="24"/>
      <c r="L202" s="25">
        <f t="shared" si="170"/>
        <v>765.53588725953387</v>
      </c>
      <c r="M202" s="189">
        <v>0.93</v>
      </c>
      <c r="N202" s="188">
        <f>N201*M202</f>
        <v>0.30720482172822161</v>
      </c>
      <c r="O202" s="22"/>
      <c r="P202" s="23">
        <f>P$2/$F202</f>
        <v>0.58121146264244539</v>
      </c>
    </row>
    <row r="203" spans="1:16">
      <c r="A203" s="182" t="s">
        <v>20</v>
      </c>
      <c r="B203" s="18">
        <v>840</v>
      </c>
      <c r="C203" s="149"/>
      <c r="D203" s="149"/>
      <c r="E203" s="155"/>
      <c r="F203" s="19">
        <v>1</v>
      </c>
      <c r="G203" s="20">
        <f>F207*G207</f>
        <v>10557</v>
      </c>
      <c r="H203" s="21"/>
      <c r="I203" s="21">
        <v>9</v>
      </c>
      <c r="J203" s="21">
        <f>G203/6355+0.68*K203/1000</f>
        <v>2.2868116443745081</v>
      </c>
      <c r="K203" s="20">
        <f>I203*80+200</f>
        <v>920</v>
      </c>
      <c r="L203" s="21">
        <f>9.8*2*PI()*G203/60*I203/100</f>
        <v>975.07433313205502</v>
      </c>
      <c r="M203" s="186">
        <f>L203/J203/K203</f>
        <v>0.46346773167154132</v>
      </c>
      <c r="N203" s="186">
        <f>L203/J203/K203</f>
        <v>0.46346773167154132</v>
      </c>
      <c r="O203" s="18"/>
      <c r="P203" s="19">
        <v>1450</v>
      </c>
    </row>
    <row r="204" spans="1:16">
      <c r="A204" s="322" t="s">
        <v>757</v>
      </c>
      <c r="B204" s="316">
        <v>70168</v>
      </c>
      <c r="C204" s="218">
        <v>10</v>
      </c>
      <c r="D204" s="165">
        <v>34</v>
      </c>
      <c r="E204" s="158">
        <f t="shared" ref="E204:E210" si="171">D204/C204</f>
        <v>3.4</v>
      </c>
      <c r="F204" s="10">
        <f>F203*E204</f>
        <v>3.4</v>
      </c>
      <c r="G204" s="162"/>
      <c r="H204" s="163"/>
      <c r="I204" s="12">
        <f>I203*E204*M204</f>
        <v>27.54</v>
      </c>
      <c r="J204" s="163"/>
      <c r="K204" s="162"/>
      <c r="L204" s="12">
        <f t="shared" ref="L204:L210" si="172">L203*M204</f>
        <v>877.56689981884949</v>
      </c>
      <c r="M204" s="188">
        <v>0.9</v>
      </c>
      <c r="N204" s="187">
        <f t="shared" ref="N204:N208" si="173">N203*M204</f>
        <v>0.41712095850438718</v>
      </c>
      <c r="O204" s="164"/>
      <c r="P204" s="161"/>
    </row>
    <row r="205" spans="1:16">
      <c r="A205" s="323"/>
      <c r="B205" s="317"/>
      <c r="C205" s="157">
        <v>12</v>
      </c>
      <c r="D205" s="157">
        <v>36</v>
      </c>
      <c r="E205" s="158">
        <f t="shared" si="171"/>
        <v>3</v>
      </c>
      <c r="F205" s="10">
        <f>F204*E205</f>
        <v>10.199999999999999</v>
      </c>
      <c r="G205" s="11">
        <v>1039</v>
      </c>
      <c r="H205" s="12">
        <v>94</v>
      </c>
      <c r="I205" s="12">
        <f>I204*E205*M205</f>
        <v>77.662800000000004</v>
      </c>
      <c r="J205" s="12"/>
      <c r="K205" s="11"/>
      <c r="L205" s="12">
        <f>L204*M205</f>
        <v>824.91288582971845</v>
      </c>
      <c r="M205" s="188">
        <v>0.94</v>
      </c>
      <c r="N205" s="187">
        <f>N204*M205</f>
        <v>0.39209370099412394</v>
      </c>
      <c r="O205" s="9"/>
      <c r="P205" s="10">
        <f t="shared" ref="P205:P210" si="174">P$19/$F205</f>
        <v>142.15686274509804</v>
      </c>
    </row>
    <row r="206" spans="1:16">
      <c r="A206" s="323"/>
      <c r="B206" s="317"/>
      <c r="C206" s="157">
        <v>12</v>
      </c>
      <c r="D206" s="157">
        <v>36</v>
      </c>
      <c r="E206" s="158">
        <f t="shared" si="171"/>
        <v>3</v>
      </c>
      <c r="F206" s="10">
        <f t="shared" ref="F206" si="175">F205*E206</f>
        <v>30.599999999999998</v>
      </c>
      <c r="G206" s="11">
        <v>345</v>
      </c>
      <c r="H206" s="12">
        <v>278</v>
      </c>
      <c r="I206" s="12">
        <f t="shared" ref="I206" si="176">I205*E206*M206</f>
        <v>219.009096</v>
      </c>
      <c r="J206" s="12"/>
      <c r="K206" s="11"/>
      <c r="L206" s="12">
        <f t="shared" ref="L206" si="177">L205*M206</f>
        <v>775.41811267993535</v>
      </c>
      <c r="M206" s="188">
        <f>M205</f>
        <v>0.94</v>
      </c>
      <c r="N206" s="187">
        <f t="shared" ref="N206" si="178">N205*M206</f>
        <v>0.36856807893447646</v>
      </c>
      <c r="O206" s="9"/>
      <c r="P206" s="10">
        <f t="shared" si="174"/>
        <v>47.385620915032682</v>
      </c>
    </row>
    <row r="207" spans="1:16">
      <c r="A207" s="323"/>
      <c r="B207" s="317"/>
      <c r="C207" s="157">
        <v>12</v>
      </c>
      <c r="D207" s="157">
        <v>36</v>
      </c>
      <c r="E207" s="158">
        <f t="shared" si="171"/>
        <v>3</v>
      </c>
      <c r="F207" s="10">
        <f>F206*E207</f>
        <v>91.8</v>
      </c>
      <c r="G207" s="11">
        <v>115</v>
      </c>
      <c r="H207" s="12">
        <v>809</v>
      </c>
      <c r="I207" s="12">
        <f>I206*E207*M207</f>
        <v>617.60565071999997</v>
      </c>
      <c r="J207" s="12"/>
      <c r="K207" s="11"/>
      <c r="L207" s="12">
        <f>L206*M207</f>
        <v>728.89302591913918</v>
      </c>
      <c r="M207" s="188">
        <v>0.94</v>
      </c>
      <c r="N207" s="187">
        <f>N206*M207</f>
        <v>0.34645399419840783</v>
      </c>
      <c r="O207" s="9"/>
      <c r="P207" s="10">
        <f t="shared" si="174"/>
        <v>15.79520697167756</v>
      </c>
    </row>
    <row r="208" spans="1:16">
      <c r="A208" s="323"/>
      <c r="B208" s="317"/>
      <c r="C208" s="157">
        <v>12</v>
      </c>
      <c r="D208" s="157">
        <v>36</v>
      </c>
      <c r="E208" s="158">
        <f t="shared" si="171"/>
        <v>3</v>
      </c>
      <c r="F208" s="10">
        <f t="shared" ref="F208:F210" si="179">F207*E208</f>
        <v>275.39999999999998</v>
      </c>
      <c r="G208" s="11">
        <v>38</v>
      </c>
      <c r="H208" s="12">
        <v>2276</v>
      </c>
      <c r="I208" s="12">
        <f t="shared" ref="I208:I209" si="180">I207*E208*M208</f>
        <v>1741.6479350303998</v>
      </c>
      <c r="J208" s="12"/>
      <c r="K208" s="11"/>
      <c r="L208" s="12">
        <f t="shared" si="172"/>
        <v>685.15944436399081</v>
      </c>
      <c r="M208" s="188">
        <f>M207</f>
        <v>0.94</v>
      </c>
      <c r="N208" s="187">
        <f t="shared" si="173"/>
        <v>0.32566675454650335</v>
      </c>
      <c r="O208" s="9"/>
      <c r="P208" s="10">
        <f t="shared" si="174"/>
        <v>5.265068990559187</v>
      </c>
    </row>
    <row r="209" spans="1:16">
      <c r="A209" s="323"/>
      <c r="B209" s="317"/>
      <c r="C209" s="212">
        <v>12</v>
      </c>
      <c r="D209" s="212">
        <v>36</v>
      </c>
      <c r="E209" s="213">
        <f t="shared" si="171"/>
        <v>3</v>
      </c>
      <c r="F209" s="214">
        <f t="shared" si="179"/>
        <v>826.19999999999993</v>
      </c>
      <c r="G209" s="11"/>
      <c r="H209" s="12"/>
      <c r="I209" s="12">
        <f t="shared" si="180"/>
        <v>4911.4471767857276</v>
      </c>
      <c r="J209" s="12"/>
      <c r="K209" s="11"/>
      <c r="L209" s="12">
        <f t="shared" si="172"/>
        <v>644.04987770215132</v>
      </c>
      <c r="M209" s="188">
        <f>M207</f>
        <v>0.94</v>
      </c>
      <c r="N209" s="187">
        <f>N208*M209</f>
        <v>0.30612674927371314</v>
      </c>
      <c r="O209" s="9"/>
      <c r="P209" s="10">
        <f t="shared" si="174"/>
        <v>1.7550229968530624</v>
      </c>
    </row>
    <row r="210" spans="1:16" ht="15" thickBot="1">
      <c r="A210" s="324"/>
      <c r="B210" s="318"/>
      <c r="C210" s="215">
        <v>12</v>
      </c>
      <c r="D210" s="215">
        <v>36</v>
      </c>
      <c r="E210" s="216">
        <f t="shared" si="171"/>
        <v>3</v>
      </c>
      <c r="F210" s="217">
        <f t="shared" si="179"/>
        <v>2478.6</v>
      </c>
      <c r="G210" s="24"/>
      <c r="H210" s="25"/>
      <c r="I210" s="25">
        <f>I209*E210*M210</f>
        <v>13850.28103853575</v>
      </c>
      <c r="J210" s="25"/>
      <c r="K210" s="24"/>
      <c r="L210" s="25">
        <f t="shared" si="172"/>
        <v>605.40688504002219</v>
      </c>
      <c r="M210" s="189">
        <f>M207</f>
        <v>0.94</v>
      </c>
      <c r="N210" s="188">
        <f>N209*M210</f>
        <v>0.28775914431729033</v>
      </c>
      <c r="O210" s="22"/>
      <c r="P210" s="23">
        <f t="shared" si="174"/>
        <v>0.58500766561768747</v>
      </c>
    </row>
    <row r="211" spans="1:16" ht="15" thickBot="1">
      <c r="G211" s="204"/>
      <c r="H211" s="204"/>
      <c r="I211" s="204"/>
      <c r="M211" s="191"/>
      <c r="N211" s="191"/>
      <c r="O211" s="122"/>
    </row>
    <row r="212" spans="1:16" ht="15" thickBot="1">
      <c r="G212" s="16" t="s">
        <v>762</v>
      </c>
      <c r="H212" s="223" t="s">
        <v>763</v>
      </c>
      <c r="I212" s="225" t="s">
        <v>764</v>
      </c>
    </row>
    <row r="213" spans="1:16" ht="15" thickBot="1">
      <c r="A213" s="183" t="s">
        <v>719</v>
      </c>
      <c r="B213" s="18"/>
      <c r="C213" s="149"/>
      <c r="D213" s="149"/>
      <c r="E213" s="155"/>
      <c r="F213" s="18">
        <v>1</v>
      </c>
      <c r="G213" s="220">
        <f>60/86164.09053</f>
        <v>6.9634577038922758E-4</v>
      </c>
      <c r="H213" s="224">
        <f>60/86400</f>
        <v>6.9444444444444447E-4</v>
      </c>
      <c r="I213" s="226">
        <f>G213*0.965</f>
        <v>6.7197366842560455E-4</v>
      </c>
    </row>
    <row r="214" spans="1:16" ht="15" thickBot="1">
      <c r="A214" s="211"/>
      <c r="B214" s="204"/>
      <c r="C214" s="205"/>
      <c r="D214" s="205"/>
      <c r="E214" s="209"/>
      <c r="F214" s="204"/>
      <c r="G214" s="204"/>
      <c r="H214" s="204"/>
      <c r="I214" s="204"/>
    </row>
    <row r="215" spans="1:16">
      <c r="A215" s="236" t="s">
        <v>722</v>
      </c>
      <c r="B215" s="237"/>
      <c r="C215" s="238">
        <v>1</v>
      </c>
      <c r="D215" s="238">
        <v>144</v>
      </c>
      <c r="E215" s="239">
        <f t="shared" ref="E215:E216" si="181">D215/C215</f>
        <v>144</v>
      </c>
      <c r="F215" s="240">
        <f>E215</f>
        <v>144</v>
      </c>
      <c r="G215" s="241">
        <f>G$213*E215</f>
        <v>0.10027379093604877</v>
      </c>
      <c r="H215" s="241">
        <f>H$213*F215</f>
        <v>0.1</v>
      </c>
      <c r="I215" s="241">
        <f>I$213*F215</f>
        <v>9.6764208253287048E-2</v>
      </c>
    </row>
    <row r="216" spans="1:16">
      <c r="A216" s="242" t="s">
        <v>725</v>
      </c>
      <c r="B216" s="237"/>
      <c r="C216" s="238">
        <v>15</v>
      </c>
      <c r="D216" s="238">
        <v>64</v>
      </c>
      <c r="E216" s="239">
        <f t="shared" si="181"/>
        <v>4.2666666666666666</v>
      </c>
      <c r="F216" s="240">
        <f t="shared" ref="F216:F217" si="182">F215*E216</f>
        <v>614.4</v>
      </c>
      <c r="G216" s="243">
        <f>G215*E216</f>
        <v>0.42783484132714139</v>
      </c>
      <c r="H216" s="243">
        <f>H215*E216</f>
        <v>0.42666666666666669</v>
      </c>
      <c r="I216" s="243">
        <f>I215*E216</f>
        <v>0.41286062188069139</v>
      </c>
      <c r="J216" t="s">
        <v>823</v>
      </c>
    </row>
    <row r="217" spans="1:16" ht="15" thickBot="1">
      <c r="A217" s="244" t="s">
        <v>718</v>
      </c>
      <c r="B217" s="245"/>
      <c r="C217" s="246"/>
      <c r="D217" s="246"/>
      <c r="E217" s="247">
        <f>F$18</f>
        <v>5402.25</v>
      </c>
      <c r="F217" s="248">
        <f t="shared" si="182"/>
        <v>3319142.3999999999</v>
      </c>
      <c r="G217" s="248">
        <f>G216*E217</f>
        <v>2311.2707715595498</v>
      </c>
      <c r="H217" s="248">
        <f>H216*E217</f>
        <v>2304.96</v>
      </c>
      <c r="I217" s="248">
        <f>I216*E217</f>
        <v>2230.3762945549652</v>
      </c>
    </row>
    <row r="218" spans="1:16">
      <c r="A218" s="236" t="s">
        <v>722</v>
      </c>
      <c r="B218" s="237"/>
      <c r="C218" s="238">
        <v>1</v>
      </c>
      <c r="D218" s="238">
        <v>144</v>
      </c>
      <c r="E218" s="239">
        <f t="shared" ref="E218:E219" si="183">D218/C218</f>
        <v>144</v>
      </c>
      <c r="F218" s="240">
        <f>E218</f>
        <v>144</v>
      </c>
      <c r="G218" s="241">
        <f>G$213*E218</f>
        <v>0.10027379093604877</v>
      </c>
      <c r="H218" s="241">
        <f>H$213*F218</f>
        <v>0.1</v>
      </c>
      <c r="I218" s="241">
        <f>I$213*F218</f>
        <v>9.6764208253287048E-2</v>
      </c>
    </row>
    <row r="219" spans="1:16">
      <c r="A219" s="242" t="s">
        <v>725</v>
      </c>
      <c r="B219" s="237"/>
      <c r="C219" s="238">
        <v>15</v>
      </c>
      <c r="D219" s="238">
        <v>45</v>
      </c>
      <c r="E219" s="239">
        <f t="shared" si="183"/>
        <v>3</v>
      </c>
      <c r="F219" s="240">
        <f t="shared" ref="F219:F220" si="184">F218*E219</f>
        <v>432</v>
      </c>
      <c r="G219" s="243">
        <f>G218*E219</f>
        <v>0.3008213728081463</v>
      </c>
      <c r="H219" s="243">
        <f>H218*E219</f>
        <v>0.30000000000000004</v>
      </c>
      <c r="I219" s="243">
        <f>I218*E219</f>
        <v>0.29029262475986117</v>
      </c>
      <c r="J219" t="s">
        <v>823</v>
      </c>
    </row>
    <row r="220" spans="1:16" ht="15" thickBot="1">
      <c r="A220" s="244" t="s">
        <v>718</v>
      </c>
      <c r="B220" s="245"/>
      <c r="C220" s="246"/>
      <c r="D220" s="246"/>
      <c r="E220" s="250">
        <f>F$18</f>
        <v>5402.25</v>
      </c>
      <c r="F220" s="248">
        <f t="shared" si="184"/>
        <v>2333772</v>
      </c>
      <c r="G220" s="248">
        <f>G219*E220</f>
        <v>1625.1122612528084</v>
      </c>
      <c r="H220" s="248">
        <f>H219*E220</f>
        <v>1620.6750000000002</v>
      </c>
      <c r="I220" s="248">
        <f>I219*E220</f>
        <v>1568.23333210896</v>
      </c>
    </row>
    <row r="221" spans="1:16">
      <c r="A221" s="236" t="s">
        <v>722</v>
      </c>
      <c r="B221" s="237"/>
      <c r="C221" s="238">
        <v>1</v>
      </c>
      <c r="D221" s="238">
        <v>144</v>
      </c>
      <c r="E221" s="239">
        <f t="shared" ref="E221:E222" si="185">D221/C221</f>
        <v>144</v>
      </c>
      <c r="F221" s="240">
        <f>E221</f>
        <v>144</v>
      </c>
      <c r="G221" s="241">
        <f>G$213*E221</f>
        <v>0.10027379093604877</v>
      </c>
      <c r="H221" s="241">
        <f>H$213*F221</f>
        <v>0.1</v>
      </c>
      <c r="I221" s="241">
        <f>I$213*F221</f>
        <v>9.6764208253287048E-2</v>
      </c>
    </row>
    <row r="222" spans="1:16">
      <c r="A222" s="242" t="s">
        <v>724</v>
      </c>
      <c r="B222" s="237"/>
      <c r="C222" s="238">
        <v>12</v>
      </c>
      <c r="D222" s="238">
        <v>64</v>
      </c>
      <c r="E222" s="239">
        <f t="shared" si="185"/>
        <v>5.333333333333333</v>
      </c>
      <c r="F222" s="240">
        <f t="shared" ref="F222:F223" si="186">F221*E222</f>
        <v>768</v>
      </c>
      <c r="G222" s="243">
        <f>G221*E222</f>
        <v>0.53479355165892672</v>
      </c>
      <c r="H222" s="243">
        <f>H221*E222</f>
        <v>0.53333333333333333</v>
      </c>
      <c r="I222" s="243">
        <f>I221*E222</f>
        <v>0.51607577735086418</v>
      </c>
    </row>
    <row r="223" spans="1:16" ht="15" thickBot="1">
      <c r="A223" s="244" t="s">
        <v>718</v>
      </c>
      <c r="B223" s="245"/>
      <c r="C223" s="246"/>
      <c r="D223" s="246"/>
      <c r="E223" s="250">
        <f>F$17</f>
        <v>1543.5</v>
      </c>
      <c r="F223" s="248">
        <f t="shared" si="186"/>
        <v>1185408</v>
      </c>
      <c r="G223" s="248">
        <f>G222*E223</f>
        <v>825.45384698555335</v>
      </c>
      <c r="H223" s="248">
        <f>H222*E223</f>
        <v>823.19999999999993</v>
      </c>
      <c r="I223" s="248">
        <f>I222*E223</f>
        <v>796.56296234105889</v>
      </c>
    </row>
    <row r="224" spans="1:16">
      <c r="A224" s="210" t="s">
        <v>720</v>
      </c>
      <c r="B224" s="9"/>
      <c r="C224" s="166">
        <v>1</v>
      </c>
      <c r="D224" s="166">
        <v>120</v>
      </c>
      <c r="E224" s="158">
        <f t="shared" ref="E224:E225" si="187">D224/C224</f>
        <v>120</v>
      </c>
      <c r="F224" s="10">
        <f>E224</f>
        <v>120</v>
      </c>
      <c r="G224" s="222">
        <f>G$213*E224</f>
        <v>8.3561492446707311E-2</v>
      </c>
      <c r="H224" s="222">
        <f>H$213*F224</f>
        <v>8.3333333333333343E-2</v>
      </c>
      <c r="I224" s="222">
        <f>I$213*F224</f>
        <v>8.063684021107255E-2</v>
      </c>
    </row>
    <row r="225" spans="1:10">
      <c r="A225" s="201" t="s">
        <v>725</v>
      </c>
      <c r="B225" s="9"/>
      <c r="C225" s="166">
        <v>15</v>
      </c>
      <c r="D225" s="166">
        <v>64</v>
      </c>
      <c r="E225" s="158">
        <f t="shared" si="187"/>
        <v>4.2666666666666666</v>
      </c>
      <c r="F225" s="10">
        <f t="shared" ref="F225:F226" si="188">F224*E225</f>
        <v>512</v>
      </c>
      <c r="G225" s="221">
        <f>G224*E225</f>
        <v>0.35652903443928452</v>
      </c>
      <c r="H225" s="221">
        <f>H224*E225</f>
        <v>0.35555555555555557</v>
      </c>
      <c r="I225" s="221">
        <f>I224*E225</f>
        <v>0.34405051823390953</v>
      </c>
      <c r="J225" t="s">
        <v>823</v>
      </c>
    </row>
    <row r="226" spans="1:10" ht="15" thickBot="1">
      <c r="A226" s="198" t="s">
        <v>718</v>
      </c>
      <c r="B226" s="22"/>
      <c r="C226" s="199"/>
      <c r="D226" s="199"/>
      <c r="E226" s="200">
        <f>F$18</f>
        <v>5402.25</v>
      </c>
      <c r="F226" s="23">
        <f t="shared" si="188"/>
        <v>2765952</v>
      </c>
      <c r="G226" s="23">
        <f>G225*E226</f>
        <v>1926.0589762996249</v>
      </c>
      <c r="H226" s="23">
        <f>H225*E226</f>
        <v>1920.8000000000002</v>
      </c>
      <c r="I226" s="23">
        <f>I225*E226</f>
        <v>1858.6469121291377</v>
      </c>
    </row>
    <row r="227" spans="1:10">
      <c r="A227" s="197" t="s">
        <v>720</v>
      </c>
      <c r="B227" s="9"/>
      <c r="C227" s="166">
        <v>1</v>
      </c>
      <c r="D227" s="166">
        <v>120</v>
      </c>
      <c r="E227" s="158">
        <f t="shared" ref="E227:E228" si="189">D227/C227</f>
        <v>120</v>
      </c>
      <c r="F227" s="10">
        <f>E227</f>
        <v>120</v>
      </c>
      <c r="G227" s="222">
        <f>G$213*E227</f>
        <v>8.3561492446707311E-2</v>
      </c>
      <c r="H227" s="222">
        <f>H$213*F227</f>
        <v>8.3333333333333343E-2</v>
      </c>
      <c r="I227" s="222">
        <f>I$213*F227</f>
        <v>8.063684021107255E-2</v>
      </c>
    </row>
    <row r="228" spans="1:10">
      <c r="A228" s="201" t="s">
        <v>724</v>
      </c>
      <c r="B228" s="9"/>
      <c r="C228" s="166">
        <v>12</v>
      </c>
      <c r="D228" s="166">
        <v>64</v>
      </c>
      <c r="E228" s="158">
        <f t="shared" si="189"/>
        <v>5.333333333333333</v>
      </c>
      <c r="F228" s="10">
        <f t="shared" ref="F228:F229" si="190">F227*E228</f>
        <v>640</v>
      </c>
      <c r="G228" s="221">
        <f>G227*E228</f>
        <v>0.44566129304910562</v>
      </c>
      <c r="H228" s="221">
        <f>H227*E228</f>
        <v>0.44444444444444448</v>
      </c>
      <c r="I228" s="221">
        <f>I227*E228</f>
        <v>0.43006314779238691</v>
      </c>
    </row>
    <row r="229" spans="1:10" ht="15" thickBot="1">
      <c r="A229" s="198" t="s">
        <v>718</v>
      </c>
      <c r="B229" s="22"/>
      <c r="C229" s="199"/>
      <c r="D229" s="199"/>
      <c r="E229" s="200">
        <f>F$18</f>
        <v>5402.25</v>
      </c>
      <c r="F229" s="23">
        <f t="shared" si="190"/>
        <v>3457440</v>
      </c>
      <c r="G229" s="23">
        <f>G228*E229</f>
        <v>2407.5737203745307</v>
      </c>
      <c r="H229" s="23">
        <f>H228*E229</f>
        <v>2401</v>
      </c>
      <c r="I229" s="23">
        <f>I228*E229</f>
        <v>2323.3086401614223</v>
      </c>
    </row>
    <row r="230" spans="1:10">
      <c r="A230" s="197" t="s">
        <v>720</v>
      </c>
      <c r="B230" s="9"/>
      <c r="C230" s="166">
        <v>1</v>
      </c>
      <c r="D230" s="166">
        <v>120</v>
      </c>
      <c r="E230" s="158">
        <f t="shared" ref="E230:E231" si="191">D230/C230</f>
        <v>120</v>
      </c>
      <c r="F230" s="10">
        <f>E230</f>
        <v>120</v>
      </c>
      <c r="G230" s="222">
        <f>G$213*E230</f>
        <v>8.3561492446707311E-2</v>
      </c>
      <c r="H230" s="222">
        <f>H$213*F230</f>
        <v>8.3333333333333343E-2</v>
      </c>
      <c r="I230" s="222">
        <f>I$213*F230</f>
        <v>8.063684021107255E-2</v>
      </c>
    </row>
    <row r="231" spans="1:10">
      <c r="A231" s="201" t="s">
        <v>724</v>
      </c>
      <c r="B231" s="9"/>
      <c r="C231" s="166">
        <v>12</v>
      </c>
      <c r="D231" s="166">
        <v>64</v>
      </c>
      <c r="E231" s="158">
        <f t="shared" si="191"/>
        <v>5.333333333333333</v>
      </c>
      <c r="F231" s="10">
        <f t="shared" ref="F231:F232" si="192">F230*E231</f>
        <v>640</v>
      </c>
      <c r="G231" s="221">
        <f>G230*E231</f>
        <v>0.44566129304910562</v>
      </c>
      <c r="H231" s="221">
        <f>H230*E231</f>
        <v>0.44444444444444448</v>
      </c>
      <c r="I231" s="221">
        <f>I230*E231</f>
        <v>0.43006314779238691</v>
      </c>
    </row>
    <row r="232" spans="1:10" ht="15" thickBot="1">
      <c r="A232" s="198" t="s">
        <v>718</v>
      </c>
      <c r="B232" s="22"/>
      <c r="C232" s="199"/>
      <c r="D232" s="199"/>
      <c r="E232" s="200">
        <f>F$17</f>
        <v>1543.5</v>
      </c>
      <c r="F232" s="23">
        <f t="shared" si="192"/>
        <v>987840</v>
      </c>
      <c r="G232" s="23">
        <f>G231*E232</f>
        <v>687.8782058212945</v>
      </c>
      <c r="H232" s="23">
        <f>H231*E232</f>
        <v>686</v>
      </c>
      <c r="I232" s="23">
        <f>I231*E232</f>
        <v>663.80246861754915</v>
      </c>
    </row>
    <row r="233" spans="1:10">
      <c r="A233" s="197" t="s">
        <v>720</v>
      </c>
      <c r="B233" s="9"/>
      <c r="C233" s="166">
        <v>1</v>
      </c>
      <c r="D233" s="166">
        <v>120</v>
      </c>
      <c r="E233" s="158">
        <f t="shared" ref="E233:E234" si="193">D233/C233</f>
        <v>120</v>
      </c>
      <c r="F233" s="10">
        <f>E233</f>
        <v>120</v>
      </c>
      <c r="G233" s="222">
        <f>G$213*E233</f>
        <v>8.3561492446707311E-2</v>
      </c>
      <c r="H233" s="222">
        <f>H$213*F233</f>
        <v>8.3333333333333343E-2</v>
      </c>
      <c r="I233" s="222">
        <f>I$213*F233</f>
        <v>8.063684021107255E-2</v>
      </c>
    </row>
    <row r="234" spans="1:10">
      <c r="A234" s="201" t="s">
        <v>724</v>
      </c>
      <c r="B234" s="9"/>
      <c r="C234" s="166">
        <v>12</v>
      </c>
      <c r="D234" s="166">
        <v>80</v>
      </c>
      <c r="E234" s="158">
        <f t="shared" si="193"/>
        <v>6.666666666666667</v>
      </c>
      <c r="F234" s="10">
        <f t="shared" ref="F234:F235" si="194">F233*E234</f>
        <v>800</v>
      </c>
      <c r="G234" s="221">
        <f>G233*E234</f>
        <v>0.55707661631138206</v>
      </c>
      <c r="H234" s="221">
        <f>H233*E234</f>
        <v>0.55555555555555569</v>
      </c>
      <c r="I234" s="221">
        <f>I233*E234</f>
        <v>0.53757893474048368</v>
      </c>
    </row>
    <row r="235" spans="1:10" ht="15" thickBot="1">
      <c r="A235" s="198" t="s">
        <v>718</v>
      </c>
      <c r="B235" s="22"/>
      <c r="C235" s="199"/>
      <c r="D235" s="199"/>
      <c r="E235" s="200">
        <f>F$17</f>
        <v>1543.5</v>
      </c>
      <c r="F235" s="23">
        <f t="shared" si="194"/>
        <v>1234800</v>
      </c>
      <c r="G235" s="23">
        <f>G234*E235</f>
        <v>859.84775727661815</v>
      </c>
      <c r="H235" s="23">
        <f>H234*E235</f>
        <v>857.50000000000023</v>
      </c>
      <c r="I235" s="23">
        <f>I234*E235</f>
        <v>829.75308577193653</v>
      </c>
    </row>
    <row r="236" spans="1:10" ht="15" thickBot="1">
      <c r="A236" s="206"/>
      <c r="B236" s="204"/>
      <c r="C236" s="205"/>
      <c r="D236" s="205"/>
      <c r="E236" s="207"/>
      <c r="F236" s="208"/>
      <c r="G236" s="204"/>
      <c r="H236" s="204"/>
      <c r="I236" s="204"/>
    </row>
    <row r="237" spans="1:10">
      <c r="A237" s="266" t="s">
        <v>723</v>
      </c>
      <c r="B237" s="252"/>
      <c r="C237" s="253">
        <v>1</v>
      </c>
      <c r="D237" s="253">
        <v>144</v>
      </c>
      <c r="E237" s="267">
        <f t="shared" ref="E237:E238" si="195">D237/C237</f>
        <v>144</v>
      </c>
      <c r="F237" s="259">
        <f>E237</f>
        <v>144</v>
      </c>
      <c r="G237" s="257">
        <f>G$213*E237</f>
        <v>0.10027379093604877</v>
      </c>
      <c r="H237" s="257">
        <f>H$213*F237</f>
        <v>0.1</v>
      </c>
      <c r="I237" s="257">
        <f>I$213*F237</f>
        <v>9.6764208253287048E-2</v>
      </c>
    </row>
    <row r="238" spans="1:10">
      <c r="A238" s="258" t="s">
        <v>726</v>
      </c>
      <c r="B238" s="252"/>
      <c r="C238" s="253">
        <v>12</v>
      </c>
      <c r="D238" s="253">
        <v>80</v>
      </c>
      <c r="E238" s="255">
        <f t="shared" si="195"/>
        <v>6.666666666666667</v>
      </c>
      <c r="F238" s="259">
        <f t="shared" ref="F238:F239" si="196">F237*E238</f>
        <v>960</v>
      </c>
      <c r="G238" s="260">
        <f>G237*E238</f>
        <v>0.66849193957365849</v>
      </c>
      <c r="H238" s="260">
        <f>H237*E238</f>
        <v>0.66666666666666674</v>
      </c>
      <c r="I238" s="260">
        <f>I237*E238</f>
        <v>0.6450947216885804</v>
      </c>
    </row>
    <row r="239" spans="1:10" ht="15" thickBot="1">
      <c r="A239" s="261" t="str">
        <f>A$91</f>
        <v>６速ギヤボックスＨＥ</v>
      </c>
      <c r="B239" s="262"/>
      <c r="C239" s="263"/>
      <c r="D239" s="263"/>
      <c r="E239" s="264">
        <f>F$97</f>
        <v>1300.9461023893111</v>
      </c>
      <c r="F239" s="265">
        <f t="shared" si="196"/>
        <v>1248908.2582937386</v>
      </c>
      <c r="G239" s="265">
        <f>G238*E239</f>
        <v>869.67198326702191</v>
      </c>
      <c r="H239" s="265">
        <f>H238*E239</f>
        <v>867.29740159287417</v>
      </c>
      <c r="I239" s="265">
        <f>I238*E239</f>
        <v>839.2334638526761</v>
      </c>
    </row>
    <row r="240" spans="1:10">
      <c r="A240" s="266" t="s">
        <v>723</v>
      </c>
      <c r="B240" s="252"/>
      <c r="C240" s="253">
        <v>1</v>
      </c>
      <c r="D240" s="253">
        <v>144</v>
      </c>
      <c r="E240" s="255">
        <f t="shared" ref="E240:E241" si="197">D240/C240</f>
        <v>144</v>
      </c>
      <c r="F240" s="259">
        <f>E240</f>
        <v>144</v>
      </c>
      <c r="G240" s="257">
        <f>G$213*E240</f>
        <v>0.10027379093604877</v>
      </c>
      <c r="H240" s="257">
        <f>H$213*F240</f>
        <v>0.1</v>
      </c>
      <c r="I240" s="257">
        <f>I$213*F240</f>
        <v>9.6764208253287048E-2</v>
      </c>
    </row>
    <row r="241" spans="1:11">
      <c r="A241" s="258" t="s">
        <v>726</v>
      </c>
      <c r="B241" s="252"/>
      <c r="C241" s="253">
        <v>12</v>
      </c>
      <c r="D241" s="253">
        <v>70</v>
      </c>
      <c r="E241" s="255">
        <f t="shared" si="197"/>
        <v>5.833333333333333</v>
      </c>
      <c r="F241" s="259">
        <f t="shared" ref="F241:F242" si="198">F240*E241</f>
        <v>840</v>
      </c>
      <c r="G241" s="260">
        <f>G240*E241</f>
        <v>0.58493044712695108</v>
      </c>
      <c r="H241" s="260">
        <f>H240*E241</f>
        <v>0.58333333333333337</v>
      </c>
      <c r="I241" s="260">
        <f>I240*E241</f>
        <v>0.56445788147750775</v>
      </c>
    </row>
    <row r="242" spans="1:11" ht="15" thickBot="1">
      <c r="A242" s="261" t="str">
        <f>A$91</f>
        <v>６速ギヤボックスＨＥ</v>
      </c>
      <c r="B242" s="262"/>
      <c r="C242" s="263"/>
      <c r="D242" s="263"/>
      <c r="E242" s="264">
        <f>F$97</f>
        <v>1300.9461023893111</v>
      </c>
      <c r="F242" s="265">
        <f t="shared" si="198"/>
        <v>1092794.7260070213</v>
      </c>
      <c r="G242" s="265">
        <f>G241*E242</f>
        <v>760.962985358644</v>
      </c>
      <c r="H242" s="265">
        <f>H241*E242</f>
        <v>758.88522639376492</v>
      </c>
      <c r="I242" s="265">
        <f>I241*E242</f>
        <v>734.32928087109144</v>
      </c>
    </row>
    <row r="243" spans="1:11">
      <c r="A243" s="266" t="s">
        <v>723</v>
      </c>
      <c r="B243" s="252"/>
      <c r="C243" s="253">
        <v>1</v>
      </c>
      <c r="D243" s="253">
        <v>144</v>
      </c>
      <c r="E243" s="255">
        <f t="shared" ref="E243:E244" si="199">D243/C243</f>
        <v>144</v>
      </c>
      <c r="F243" s="259">
        <f>E243</f>
        <v>144</v>
      </c>
      <c r="G243" s="257">
        <f>G$213*E243</f>
        <v>0.10027379093604877</v>
      </c>
      <c r="H243" s="257">
        <f>H$213*F243</f>
        <v>0.1</v>
      </c>
      <c r="I243" s="257">
        <f>I$213*F243</f>
        <v>9.6764208253287048E-2</v>
      </c>
    </row>
    <row r="244" spans="1:11">
      <c r="A244" s="258" t="s">
        <v>726</v>
      </c>
      <c r="B244" s="252"/>
      <c r="C244" s="253">
        <v>12</v>
      </c>
      <c r="D244" s="253">
        <v>40</v>
      </c>
      <c r="E244" s="255">
        <f t="shared" si="199"/>
        <v>3.3333333333333335</v>
      </c>
      <c r="F244" s="259">
        <f t="shared" ref="F244:F245" si="200">F243*E244</f>
        <v>480</v>
      </c>
      <c r="G244" s="260">
        <f>G243*E244</f>
        <v>0.33424596978682924</v>
      </c>
      <c r="H244" s="260">
        <f>H243*E244</f>
        <v>0.33333333333333337</v>
      </c>
      <c r="I244" s="260">
        <f>I243*E244</f>
        <v>0.3225473608442902</v>
      </c>
    </row>
    <row r="245" spans="1:11" ht="15" thickBot="1">
      <c r="A245" s="261" t="str">
        <f>A$91</f>
        <v>６速ギヤボックスＨＥ</v>
      </c>
      <c r="B245" s="262"/>
      <c r="C245" s="263"/>
      <c r="D245" s="263"/>
      <c r="E245" s="264">
        <f>F$97</f>
        <v>1300.9461023893111</v>
      </c>
      <c r="F245" s="265">
        <f t="shared" si="200"/>
        <v>624454.12914686929</v>
      </c>
      <c r="G245" s="265">
        <f>G244*E245</f>
        <v>434.83599163351096</v>
      </c>
      <c r="H245" s="265">
        <f>H244*E245</f>
        <v>433.64870079643708</v>
      </c>
      <c r="I245" s="265">
        <f>I244*E245</f>
        <v>419.61673192633805</v>
      </c>
    </row>
    <row r="246" spans="1:11">
      <c r="A246" s="236" t="s">
        <v>722</v>
      </c>
      <c r="B246" s="237"/>
      <c r="C246" s="238">
        <v>1</v>
      </c>
      <c r="D246" s="238">
        <v>144</v>
      </c>
      <c r="E246" s="239">
        <f t="shared" ref="E246:E247" si="201">D246/C246</f>
        <v>144</v>
      </c>
      <c r="F246" s="240">
        <f>E246</f>
        <v>144</v>
      </c>
      <c r="G246" s="241">
        <f>G$213*E246</f>
        <v>0.10027379093604877</v>
      </c>
      <c r="H246" s="241">
        <f>H$213*F246</f>
        <v>0.1</v>
      </c>
      <c r="I246" s="241">
        <f>I$213*F246</f>
        <v>9.6764208253287048E-2</v>
      </c>
    </row>
    <row r="247" spans="1:11">
      <c r="A247" s="242" t="s">
        <v>817</v>
      </c>
      <c r="B247" s="237"/>
      <c r="C247" s="238">
        <v>12</v>
      </c>
      <c r="D247" s="238">
        <v>40</v>
      </c>
      <c r="E247" s="239">
        <f t="shared" si="201"/>
        <v>3.3333333333333335</v>
      </c>
      <c r="F247" s="240">
        <f t="shared" ref="F247:F248" si="202">F246*E247</f>
        <v>480</v>
      </c>
      <c r="G247" s="243">
        <f>G246*E247</f>
        <v>0.33424596978682924</v>
      </c>
      <c r="H247" s="243">
        <f>H246*E247</f>
        <v>0.33333333333333337</v>
      </c>
      <c r="I247" s="243">
        <f>I246*E247</f>
        <v>0.3225473608442902</v>
      </c>
      <c r="K247" t="s">
        <v>834</v>
      </c>
    </row>
    <row r="248" spans="1:11" ht="15" thickBot="1">
      <c r="A248" s="244" t="str">
        <f>A$91</f>
        <v>６速ギヤボックスＨＥ</v>
      </c>
      <c r="B248" s="245"/>
      <c r="C248" s="246"/>
      <c r="D248" s="246"/>
      <c r="E248" s="247">
        <f>F$97</f>
        <v>1300.9461023893111</v>
      </c>
      <c r="F248" s="248">
        <f t="shared" si="202"/>
        <v>624454.12914686929</v>
      </c>
      <c r="G248" s="248">
        <f>G247*E248</f>
        <v>434.83599163351096</v>
      </c>
      <c r="H248" s="248">
        <f>H247*E248</f>
        <v>433.64870079643708</v>
      </c>
      <c r="I248" s="248">
        <f>I247*E248</f>
        <v>419.61673192633805</v>
      </c>
    </row>
    <row r="249" spans="1:11">
      <c r="A249" s="236" t="s">
        <v>819</v>
      </c>
      <c r="B249" s="237"/>
      <c r="C249" s="238">
        <v>1</v>
      </c>
      <c r="D249" s="238">
        <v>144</v>
      </c>
      <c r="E249" s="239">
        <f t="shared" ref="E249" si="203">D249/C249</f>
        <v>144</v>
      </c>
      <c r="F249" s="240">
        <f>E249</f>
        <v>144</v>
      </c>
      <c r="G249" s="241">
        <f>G$213*E249</f>
        <v>0.10027379093604877</v>
      </c>
      <c r="H249" s="241">
        <f>H$213*F249</f>
        <v>0.1</v>
      </c>
      <c r="I249" s="241">
        <f>I$213*F249</f>
        <v>9.6764208253287048E-2</v>
      </c>
    </row>
    <row r="250" spans="1:11">
      <c r="A250" s="242" t="s">
        <v>817</v>
      </c>
      <c r="B250" s="237"/>
      <c r="C250" s="238">
        <v>12</v>
      </c>
      <c r="D250" s="238">
        <v>45</v>
      </c>
      <c r="E250" s="239">
        <f>D250/C250</f>
        <v>3.75</v>
      </c>
      <c r="F250" s="240">
        <f t="shared" ref="F250:F251" si="204">F249*E250</f>
        <v>540</v>
      </c>
      <c r="G250" s="243">
        <f>G249*E250</f>
        <v>0.37602671601018289</v>
      </c>
      <c r="H250" s="243">
        <f>H249*E250</f>
        <v>0.375</v>
      </c>
      <c r="I250" s="243">
        <f>I249*E250</f>
        <v>0.36286578094982641</v>
      </c>
      <c r="J250" t="s">
        <v>823</v>
      </c>
      <c r="K250" t="s">
        <v>833</v>
      </c>
    </row>
    <row r="251" spans="1:11" ht="15" thickBot="1">
      <c r="A251" s="244" t="str">
        <f>A$91</f>
        <v>６速ギヤボックスＨＥ</v>
      </c>
      <c r="B251" s="245"/>
      <c r="C251" s="246"/>
      <c r="D251" s="246"/>
      <c r="E251" s="247">
        <f>F$97</f>
        <v>1300.9461023893111</v>
      </c>
      <c r="F251" s="248">
        <f t="shared" si="204"/>
        <v>702510.89529022796</v>
      </c>
      <c r="G251" s="248">
        <f>G250*E251</f>
        <v>489.1904905876998</v>
      </c>
      <c r="H251" s="248">
        <f>H250*E251</f>
        <v>487.8547883959917</v>
      </c>
      <c r="I251" s="248">
        <f>I250*E251</f>
        <v>472.0688234171302</v>
      </c>
    </row>
    <row r="252" spans="1:11">
      <c r="A252" s="236" t="s">
        <v>722</v>
      </c>
      <c r="B252" s="237"/>
      <c r="C252" s="238">
        <v>1</v>
      </c>
      <c r="D252" s="238">
        <v>144</v>
      </c>
      <c r="E252" s="239">
        <f t="shared" ref="E252" si="205">D252/C252</f>
        <v>144</v>
      </c>
      <c r="F252" s="240">
        <f>E252</f>
        <v>144</v>
      </c>
      <c r="G252" s="241">
        <f>G$213*E252</f>
        <v>0.10027379093604877</v>
      </c>
      <c r="H252" s="241">
        <f>H$213*F252</f>
        <v>0.1</v>
      </c>
      <c r="I252" s="241">
        <f>I$213*F252</f>
        <v>9.6764208253287048E-2</v>
      </c>
    </row>
    <row r="253" spans="1:11">
      <c r="A253" s="242" t="s">
        <v>822</v>
      </c>
      <c r="B253" s="237"/>
      <c r="C253" s="238">
        <v>12</v>
      </c>
      <c r="D253" s="238">
        <v>50</v>
      </c>
      <c r="E253" s="239">
        <f>D253/C253</f>
        <v>4.166666666666667</v>
      </c>
      <c r="F253" s="240">
        <f t="shared" ref="F253:F254" si="206">F252*E253</f>
        <v>600</v>
      </c>
      <c r="G253" s="243">
        <f>G252*E253</f>
        <v>0.41780746223353654</v>
      </c>
      <c r="H253" s="243">
        <f>H252*E253</f>
        <v>0.41666666666666674</v>
      </c>
      <c r="I253" s="243">
        <f>I252*E253</f>
        <v>0.40318420105536273</v>
      </c>
    </row>
    <row r="254" spans="1:11" ht="15" thickBot="1">
      <c r="A254" s="244" t="str">
        <f>A$91</f>
        <v>６速ギヤボックスＨＥ</v>
      </c>
      <c r="B254" s="245"/>
      <c r="C254" s="246"/>
      <c r="D254" s="246"/>
      <c r="E254" s="247">
        <f>F$97</f>
        <v>1300.9461023893111</v>
      </c>
      <c r="F254" s="248">
        <f t="shared" si="206"/>
        <v>780567.66143358673</v>
      </c>
      <c r="G254" s="248">
        <f>G253*E254</f>
        <v>543.54498954188864</v>
      </c>
      <c r="H254" s="248">
        <f>H253*E254</f>
        <v>542.06087599554644</v>
      </c>
      <c r="I254" s="248">
        <f>I253*E254</f>
        <v>524.52091490792259</v>
      </c>
    </row>
    <row r="255" spans="1:11">
      <c r="A255" s="236" t="s">
        <v>722</v>
      </c>
      <c r="B255" s="237"/>
      <c r="C255" s="238">
        <v>1</v>
      </c>
      <c r="D255" s="238">
        <v>144</v>
      </c>
      <c r="E255" s="239">
        <f t="shared" ref="E255" si="207">D255/C255</f>
        <v>144</v>
      </c>
      <c r="F255" s="240">
        <f>E255</f>
        <v>144</v>
      </c>
      <c r="G255" s="241">
        <f>G$213*E255</f>
        <v>0.10027379093604877</v>
      </c>
      <c r="H255" s="241">
        <f>H$213*F255</f>
        <v>0.1</v>
      </c>
      <c r="I255" s="241">
        <f>I$213*F255</f>
        <v>9.6764208253287048E-2</v>
      </c>
    </row>
    <row r="256" spans="1:11">
      <c r="A256" s="242" t="s">
        <v>820</v>
      </c>
      <c r="B256" s="237"/>
      <c r="C256" s="238">
        <v>12</v>
      </c>
      <c r="D256" s="238">
        <v>70</v>
      </c>
      <c r="E256" s="239">
        <f>D256/C256</f>
        <v>5.833333333333333</v>
      </c>
      <c r="F256" s="240">
        <f t="shared" ref="F256:F257" si="208">F255*E256</f>
        <v>840</v>
      </c>
      <c r="G256" s="243">
        <f>G255*E256</f>
        <v>0.58493044712695108</v>
      </c>
      <c r="H256" s="243">
        <f>H255*E256</f>
        <v>0.58333333333333337</v>
      </c>
      <c r="I256" s="243">
        <f>I255*E256</f>
        <v>0.56445788147750775</v>
      </c>
    </row>
    <row r="257" spans="1:11" ht="15" thickBot="1">
      <c r="A257" s="244" t="str">
        <f>A$91</f>
        <v>６速ギヤボックスＨＥ</v>
      </c>
      <c r="B257" s="245"/>
      <c r="C257" s="246"/>
      <c r="D257" s="246"/>
      <c r="E257" s="247">
        <f>F$97</f>
        <v>1300.9461023893111</v>
      </c>
      <c r="F257" s="248">
        <f t="shared" si="208"/>
        <v>1092794.7260070213</v>
      </c>
      <c r="G257" s="248">
        <f>G256*E257</f>
        <v>760.962985358644</v>
      </c>
      <c r="H257" s="248">
        <f>H256*E257</f>
        <v>758.88522639376492</v>
      </c>
      <c r="I257" s="248">
        <f>I256*E257</f>
        <v>734.32928087109144</v>
      </c>
    </row>
    <row r="258" spans="1:11">
      <c r="A258" s="236" t="s">
        <v>818</v>
      </c>
      <c r="B258" s="237"/>
      <c r="C258" s="238">
        <v>1</v>
      </c>
      <c r="D258" s="238">
        <v>144</v>
      </c>
      <c r="E258" s="239">
        <f t="shared" ref="E258:E259" si="209">D258/C258</f>
        <v>144</v>
      </c>
      <c r="F258" s="240">
        <f>E258</f>
        <v>144</v>
      </c>
      <c r="G258" s="241">
        <f>G$213*E258</f>
        <v>0.10027379093604877</v>
      </c>
      <c r="H258" s="241">
        <f>H$213*F258</f>
        <v>0.1</v>
      </c>
      <c r="I258" s="241">
        <f>I$213*F258</f>
        <v>9.6764208253287048E-2</v>
      </c>
    </row>
    <row r="259" spans="1:11">
      <c r="A259" s="242" t="s">
        <v>813</v>
      </c>
      <c r="B259" s="237"/>
      <c r="C259" s="238">
        <v>16</v>
      </c>
      <c r="D259" s="238">
        <v>56</v>
      </c>
      <c r="E259" s="239">
        <f t="shared" si="209"/>
        <v>3.5</v>
      </c>
      <c r="F259" s="240">
        <f t="shared" ref="F259:F260" si="210">F258*E259</f>
        <v>504</v>
      </c>
      <c r="G259" s="243">
        <f>G258*E259</f>
        <v>0.35095826827617072</v>
      </c>
      <c r="H259" s="243">
        <f>H258*E259</f>
        <v>0.35000000000000003</v>
      </c>
      <c r="I259" s="243">
        <f>I258*E259</f>
        <v>0.33867472888650468</v>
      </c>
      <c r="J259" t="s">
        <v>823</v>
      </c>
    </row>
    <row r="260" spans="1:11" ht="15" thickBot="1">
      <c r="A260" s="244" t="str">
        <f>A$91</f>
        <v>６速ギヤボックスＨＥ</v>
      </c>
      <c r="B260" s="245"/>
      <c r="C260" s="246"/>
      <c r="D260" s="246"/>
      <c r="E260" s="247">
        <f>F$97</f>
        <v>1300.9461023893111</v>
      </c>
      <c r="F260" s="248">
        <f t="shared" si="210"/>
        <v>655676.83560421283</v>
      </c>
      <c r="G260" s="248">
        <f>G259*E260</f>
        <v>456.57779121518649</v>
      </c>
      <c r="H260" s="248">
        <f>H259*E260</f>
        <v>455.33113583625897</v>
      </c>
      <c r="I260" s="248">
        <f>I259*E260</f>
        <v>440.59756852265491</v>
      </c>
    </row>
    <row r="261" spans="1:11">
      <c r="A261" s="236" t="s">
        <v>722</v>
      </c>
      <c r="B261" s="237"/>
      <c r="C261" s="238">
        <v>1</v>
      </c>
      <c r="D261" s="238">
        <v>144</v>
      </c>
      <c r="E261" s="239">
        <f t="shared" ref="E261:E262" si="211">D261/C261</f>
        <v>144</v>
      </c>
      <c r="F261" s="240">
        <f>E261</f>
        <v>144</v>
      </c>
      <c r="G261" s="241">
        <f>G$213*E261</f>
        <v>0.10027379093604877</v>
      </c>
      <c r="H261" s="241">
        <f>H$213*F261</f>
        <v>0.1</v>
      </c>
      <c r="I261" s="241">
        <f>I$213*F261</f>
        <v>9.6764208253287048E-2</v>
      </c>
    </row>
    <row r="262" spans="1:11">
      <c r="A262" s="242" t="s">
        <v>821</v>
      </c>
      <c r="B262" s="237"/>
      <c r="C262" s="238">
        <v>12</v>
      </c>
      <c r="D262" s="238">
        <v>56</v>
      </c>
      <c r="E262" s="239">
        <f t="shared" si="211"/>
        <v>4.666666666666667</v>
      </c>
      <c r="F262" s="240">
        <f t="shared" ref="F262:F263" si="212">F261*E262</f>
        <v>672</v>
      </c>
      <c r="G262" s="243">
        <f>G261*E262</f>
        <v>0.46794435770156095</v>
      </c>
      <c r="H262" s="243">
        <f>H261*E262</f>
        <v>0.46666666666666673</v>
      </c>
      <c r="I262" s="243">
        <f>I261*E262</f>
        <v>0.45156630518200624</v>
      </c>
      <c r="K262" t="s">
        <v>832</v>
      </c>
    </row>
    <row r="263" spans="1:11" ht="15" thickBot="1">
      <c r="A263" s="244" t="str">
        <f>A$91</f>
        <v>６速ギヤボックスＨＥ</v>
      </c>
      <c r="B263" s="245"/>
      <c r="C263" s="246"/>
      <c r="D263" s="246"/>
      <c r="E263" s="247">
        <f>F$97</f>
        <v>1300.9461023893111</v>
      </c>
      <c r="F263" s="248">
        <f t="shared" si="212"/>
        <v>874235.78080561711</v>
      </c>
      <c r="G263" s="248">
        <f>G262*E263</f>
        <v>608.77038828691536</v>
      </c>
      <c r="H263" s="248">
        <f>H262*E263</f>
        <v>607.10818111501192</v>
      </c>
      <c r="I263" s="248">
        <f>I262*E263</f>
        <v>587.46342469687318</v>
      </c>
    </row>
    <row r="264" spans="1:11">
      <c r="A264" s="236" t="s">
        <v>722</v>
      </c>
      <c r="B264" s="237"/>
      <c r="C264" s="238">
        <v>1</v>
      </c>
      <c r="D264" s="238">
        <v>144</v>
      </c>
      <c r="E264" s="239">
        <f t="shared" ref="E264:E265" si="213">D264/C264</f>
        <v>144</v>
      </c>
      <c r="F264" s="240">
        <f>E264</f>
        <v>144</v>
      </c>
      <c r="G264" s="241">
        <f>G$213*E264</f>
        <v>0.10027379093604877</v>
      </c>
      <c r="H264" s="241">
        <f>H$213*F264</f>
        <v>0.1</v>
      </c>
      <c r="I264" s="241">
        <f>I$213*F264</f>
        <v>9.6764208253287048E-2</v>
      </c>
    </row>
    <row r="265" spans="1:11">
      <c r="A265" s="242" t="s">
        <v>814</v>
      </c>
      <c r="B265" s="237"/>
      <c r="C265" s="238">
        <v>14</v>
      </c>
      <c r="D265" s="238">
        <v>56</v>
      </c>
      <c r="E265" s="239">
        <f t="shared" si="213"/>
        <v>4</v>
      </c>
      <c r="F265" s="240">
        <f t="shared" ref="F265:F266" si="214">F264*E265</f>
        <v>576</v>
      </c>
      <c r="G265" s="243">
        <f>G264*E265</f>
        <v>0.40109516374419507</v>
      </c>
      <c r="H265" s="243">
        <f>H264*E265</f>
        <v>0.4</v>
      </c>
      <c r="I265" s="243">
        <f>I264*E265</f>
        <v>0.38705683301314819</v>
      </c>
    </row>
    <row r="266" spans="1:11" ht="15" thickBot="1">
      <c r="A266" s="244" t="str">
        <f>A$91</f>
        <v>６速ギヤボックスＨＥ</v>
      </c>
      <c r="B266" s="245"/>
      <c r="C266" s="246"/>
      <c r="D266" s="246"/>
      <c r="E266" s="247">
        <f>F$97</f>
        <v>1300.9461023893111</v>
      </c>
      <c r="F266" s="248">
        <f t="shared" si="214"/>
        <v>749344.9549762432</v>
      </c>
      <c r="G266" s="248">
        <f>G265*E266</f>
        <v>521.8031899602131</v>
      </c>
      <c r="H266" s="248">
        <f>H265*E266</f>
        <v>520.3784409557245</v>
      </c>
      <c r="I266" s="248">
        <f>I265*E266</f>
        <v>503.54007831160561</v>
      </c>
    </row>
    <row r="267" spans="1:11">
      <c r="A267" s="197" t="s">
        <v>754</v>
      </c>
      <c r="B267" s="9"/>
      <c r="C267" s="166">
        <v>1</v>
      </c>
      <c r="D267" s="166">
        <v>120</v>
      </c>
      <c r="E267" s="158">
        <f t="shared" ref="E267" si="215">D267/C267</f>
        <v>120</v>
      </c>
      <c r="F267" s="10">
        <f>E267</f>
        <v>120</v>
      </c>
      <c r="G267" s="222">
        <f>G$213*E267</f>
        <v>8.3561492446707311E-2</v>
      </c>
      <c r="H267" s="222">
        <f>H$213*F267</f>
        <v>8.3333333333333343E-2</v>
      </c>
      <c r="I267" s="222">
        <f>I$213*F267</f>
        <v>8.063684021107255E-2</v>
      </c>
    </row>
    <row r="268" spans="1:11">
      <c r="A268" s="201" t="s">
        <v>755</v>
      </c>
      <c r="B268" s="9"/>
      <c r="C268" s="166">
        <v>12</v>
      </c>
      <c r="D268" s="166">
        <v>50</v>
      </c>
      <c r="E268" s="158">
        <f>D268/C268</f>
        <v>4.166666666666667</v>
      </c>
      <c r="F268" s="10">
        <f t="shared" ref="F268:F269" si="216">F267*E268</f>
        <v>500.00000000000006</v>
      </c>
      <c r="G268" s="221">
        <f>G267*E268</f>
        <v>0.34817288519461381</v>
      </c>
      <c r="H268" s="221">
        <f>H267*E268</f>
        <v>0.34722222222222227</v>
      </c>
      <c r="I268" s="221">
        <f>I267*E268</f>
        <v>0.33598683421280229</v>
      </c>
    </row>
    <row r="269" spans="1:11" ht="15" thickBot="1">
      <c r="A269" s="198" t="str">
        <f>A$91</f>
        <v>６速ギヤボックスＨＥ</v>
      </c>
      <c r="B269" s="22"/>
      <c r="C269" s="199"/>
      <c r="D269" s="199"/>
      <c r="E269" s="202">
        <f>F$97</f>
        <v>1300.9461023893111</v>
      </c>
      <c r="F269" s="23">
        <f t="shared" si="216"/>
        <v>650473.05119465559</v>
      </c>
      <c r="G269" s="23">
        <f>G268*E269</f>
        <v>452.9541579515739</v>
      </c>
      <c r="H269" s="23">
        <f>H268*E269</f>
        <v>451.71739666295531</v>
      </c>
      <c r="I269" s="23">
        <f>I268*E269</f>
        <v>437.1007624232688</v>
      </c>
    </row>
    <row r="270" spans="1:11">
      <c r="A270" s="197" t="s">
        <v>754</v>
      </c>
      <c r="B270" s="9"/>
      <c r="C270" s="166">
        <v>1</v>
      </c>
      <c r="D270" s="166">
        <v>120</v>
      </c>
      <c r="E270" s="158">
        <f t="shared" ref="E270" si="217">D270/C270</f>
        <v>120</v>
      </c>
      <c r="F270" s="10">
        <f>E270</f>
        <v>120</v>
      </c>
      <c r="G270" s="222">
        <f>G$213*E270</f>
        <v>8.3561492446707311E-2</v>
      </c>
      <c r="H270" s="222">
        <f>H$213*F270</f>
        <v>8.3333333333333343E-2</v>
      </c>
      <c r="I270" s="222">
        <f>I$213*F270</f>
        <v>8.063684021107255E-2</v>
      </c>
    </row>
    <row r="271" spans="1:11">
      <c r="A271" s="201" t="s">
        <v>726</v>
      </c>
      <c r="B271" s="9"/>
      <c r="C271" s="166">
        <v>12</v>
      </c>
      <c r="D271" s="166">
        <v>36</v>
      </c>
      <c r="E271" s="158">
        <f>D271/C271</f>
        <v>3</v>
      </c>
      <c r="F271" s="10">
        <f t="shared" ref="F271:F272" si="218">F270*E271</f>
        <v>360</v>
      </c>
      <c r="G271" s="221">
        <f>G270*E271</f>
        <v>0.25068447734012195</v>
      </c>
      <c r="H271" s="221">
        <f>H270*E271</f>
        <v>0.25</v>
      </c>
      <c r="I271" s="221">
        <f>I270*E271</f>
        <v>0.24191052063321766</v>
      </c>
    </row>
    <row r="272" spans="1:11" ht="15" thickBot="1">
      <c r="A272" s="198" t="str">
        <f>A$91</f>
        <v>６速ギヤボックスＨＥ</v>
      </c>
      <c r="B272" s="22"/>
      <c r="C272" s="199"/>
      <c r="D272" s="199"/>
      <c r="E272" s="202">
        <f>F$97</f>
        <v>1300.9461023893111</v>
      </c>
      <c r="F272" s="23">
        <f t="shared" si="218"/>
        <v>468340.59686015203</v>
      </c>
      <c r="G272" s="23">
        <f>G271*E272</f>
        <v>326.12699372513322</v>
      </c>
      <c r="H272" s="23">
        <f>H271*E272</f>
        <v>325.23652559732778</v>
      </c>
      <c r="I272" s="23">
        <f>I271*E272</f>
        <v>314.71254894475356</v>
      </c>
    </row>
    <row r="273" spans="1:9">
      <c r="A273" s="197" t="s">
        <v>754</v>
      </c>
      <c r="B273" s="9"/>
      <c r="C273" s="166">
        <v>1</v>
      </c>
      <c r="D273" s="166">
        <v>120</v>
      </c>
      <c r="E273" s="158">
        <f t="shared" ref="E273:E274" si="219">D273/C273</f>
        <v>120</v>
      </c>
      <c r="F273" s="10">
        <f>E273</f>
        <v>120</v>
      </c>
      <c r="G273" s="222">
        <f>G$213*E273</f>
        <v>8.3561492446707311E-2</v>
      </c>
      <c r="H273" s="222">
        <f>H$213*F273</f>
        <v>8.3333333333333343E-2</v>
      </c>
      <c r="I273" s="222">
        <f>I$213*F273</f>
        <v>8.063684021107255E-2</v>
      </c>
    </row>
    <row r="274" spans="1:9">
      <c r="A274" s="201" t="s">
        <v>825</v>
      </c>
      <c r="B274" s="9"/>
      <c r="C274" s="166">
        <v>12</v>
      </c>
      <c r="D274" s="166">
        <v>70</v>
      </c>
      <c r="E274" s="158">
        <f t="shared" si="219"/>
        <v>5.833333333333333</v>
      </c>
      <c r="F274" s="10">
        <f t="shared" ref="F274:F275" si="220">F273*E274</f>
        <v>700</v>
      </c>
      <c r="G274" s="221">
        <f>G273*E274</f>
        <v>0.48744203927245927</v>
      </c>
      <c r="H274" s="221">
        <f>H273*E274</f>
        <v>0.48611111111111116</v>
      </c>
      <c r="I274" s="221">
        <f>I273*E274</f>
        <v>0.47038156789792318</v>
      </c>
    </row>
    <row r="275" spans="1:9" ht="15" thickBot="1">
      <c r="A275" s="198" t="str">
        <f>A$91</f>
        <v>６速ギヤボックスＨＥ</v>
      </c>
      <c r="B275" s="22"/>
      <c r="C275" s="199"/>
      <c r="D275" s="199"/>
      <c r="E275" s="202">
        <f>F$97</f>
        <v>1300.9461023893111</v>
      </c>
      <c r="F275" s="23">
        <f t="shared" si="220"/>
        <v>910662.27167251776</v>
      </c>
      <c r="G275" s="23">
        <f>G274*E275</f>
        <v>634.13582113220343</v>
      </c>
      <c r="H275" s="23">
        <f>H274*E275</f>
        <v>632.4043553281374</v>
      </c>
      <c r="I275" s="23">
        <f>I274*E275</f>
        <v>611.94106739257631</v>
      </c>
    </row>
    <row r="276" spans="1:9">
      <c r="A276" s="197" t="s">
        <v>754</v>
      </c>
      <c r="B276" s="9"/>
      <c r="C276" s="166">
        <v>1</v>
      </c>
      <c r="D276" s="166">
        <v>120</v>
      </c>
      <c r="E276" s="158">
        <f t="shared" ref="E276:E277" si="221">D276/C276</f>
        <v>120</v>
      </c>
      <c r="F276" s="10">
        <f>E276</f>
        <v>120</v>
      </c>
      <c r="G276" s="222">
        <f>G$213*E276</f>
        <v>8.3561492446707311E-2</v>
      </c>
      <c r="H276" s="222">
        <f>H$213*F276</f>
        <v>8.3333333333333343E-2</v>
      </c>
      <c r="I276" s="222">
        <f>I$213*F276</f>
        <v>8.063684021107255E-2</v>
      </c>
    </row>
    <row r="277" spans="1:9">
      <c r="A277" s="201" t="s">
        <v>725</v>
      </c>
      <c r="B277" s="9"/>
      <c r="C277" s="166">
        <v>16</v>
      </c>
      <c r="D277" s="166">
        <v>80</v>
      </c>
      <c r="E277" s="158">
        <f t="shared" si="221"/>
        <v>5</v>
      </c>
      <c r="F277" s="10">
        <f t="shared" ref="F277:F278" si="222">F276*E277</f>
        <v>600</v>
      </c>
      <c r="G277" s="221">
        <f>G276*E277</f>
        <v>0.41780746223353654</v>
      </c>
      <c r="H277" s="221">
        <f>H276*E277</f>
        <v>0.41666666666666674</v>
      </c>
      <c r="I277" s="221">
        <f>I276*E277</f>
        <v>0.40318420105536273</v>
      </c>
    </row>
    <row r="278" spans="1:9" ht="15" thickBot="1">
      <c r="A278" s="198" t="str">
        <f>A$91</f>
        <v>６速ギヤボックスＨＥ</v>
      </c>
      <c r="B278" s="22"/>
      <c r="C278" s="199"/>
      <c r="D278" s="199"/>
      <c r="E278" s="202">
        <f>F$97</f>
        <v>1300.9461023893111</v>
      </c>
      <c r="F278" s="23">
        <f t="shared" si="222"/>
        <v>780567.66143358673</v>
      </c>
      <c r="G278" s="23">
        <f>G277*E278</f>
        <v>543.54498954188864</v>
      </c>
      <c r="H278" s="23">
        <f>H277*E278</f>
        <v>542.06087599554644</v>
      </c>
      <c r="I278" s="23">
        <f>I277*E278</f>
        <v>524.52091490792259</v>
      </c>
    </row>
    <row r="279" spans="1:9">
      <c r="A279" s="197" t="s">
        <v>754</v>
      </c>
      <c r="B279" s="9"/>
      <c r="C279" s="166">
        <v>1</v>
      </c>
      <c r="D279" s="166">
        <v>120</v>
      </c>
      <c r="E279" s="158">
        <f t="shared" ref="E279:E280" si="223">D279/C279</f>
        <v>120</v>
      </c>
      <c r="F279" s="10">
        <f>E279</f>
        <v>120</v>
      </c>
      <c r="G279" s="222">
        <f>G$213*E279</f>
        <v>8.3561492446707311E-2</v>
      </c>
      <c r="H279" s="222">
        <f>H$213*F279</f>
        <v>8.3333333333333343E-2</v>
      </c>
      <c r="I279" s="222">
        <f>I$213*F279</f>
        <v>8.063684021107255E-2</v>
      </c>
    </row>
    <row r="280" spans="1:9">
      <c r="A280" s="201" t="s">
        <v>725</v>
      </c>
      <c r="B280" s="9"/>
      <c r="C280" s="166">
        <v>16</v>
      </c>
      <c r="D280" s="166">
        <v>64</v>
      </c>
      <c r="E280" s="158">
        <f t="shared" si="223"/>
        <v>4</v>
      </c>
      <c r="F280" s="10">
        <f t="shared" ref="F280:F281" si="224">F279*E280</f>
        <v>480</v>
      </c>
      <c r="G280" s="221">
        <f>G279*E280</f>
        <v>0.33424596978682924</v>
      </c>
      <c r="H280" s="221">
        <f>H279*E280</f>
        <v>0.33333333333333337</v>
      </c>
      <c r="I280" s="221">
        <f>I279*E280</f>
        <v>0.3225473608442902</v>
      </c>
    </row>
    <row r="281" spans="1:9" ht="15" thickBot="1">
      <c r="A281" s="198" t="str">
        <f>A$91</f>
        <v>６速ギヤボックスＨＥ</v>
      </c>
      <c r="B281" s="22"/>
      <c r="C281" s="199"/>
      <c r="D281" s="199"/>
      <c r="E281" s="202">
        <f>F$97</f>
        <v>1300.9461023893111</v>
      </c>
      <c r="F281" s="23">
        <f t="shared" si="224"/>
        <v>624454.12914686929</v>
      </c>
      <c r="G281" s="23">
        <f>G280*E281</f>
        <v>434.83599163351096</v>
      </c>
      <c r="H281" s="23">
        <f>H280*E281</f>
        <v>433.64870079643708</v>
      </c>
      <c r="I281" s="23">
        <f>I280*E281</f>
        <v>419.61673192633805</v>
      </c>
    </row>
    <row r="282" spans="1:9">
      <c r="A282" s="197" t="s">
        <v>754</v>
      </c>
      <c r="B282" s="9"/>
      <c r="C282" s="166">
        <v>1</v>
      </c>
      <c r="D282" s="166">
        <v>120</v>
      </c>
      <c r="E282" s="158">
        <f t="shared" ref="E282:E283" si="225">D282/C282</f>
        <v>120</v>
      </c>
      <c r="F282" s="10">
        <f>E282</f>
        <v>120</v>
      </c>
      <c r="G282" s="222">
        <f>G$213*E282</f>
        <v>8.3561492446707311E-2</v>
      </c>
      <c r="H282" s="222">
        <f>H$213*F282</f>
        <v>8.3333333333333343E-2</v>
      </c>
      <c r="I282" s="222">
        <f>I$213*F282</f>
        <v>8.063684021107255E-2</v>
      </c>
    </row>
    <row r="283" spans="1:9">
      <c r="A283" s="201" t="s">
        <v>826</v>
      </c>
      <c r="B283" s="9"/>
      <c r="C283" s="166">
        <v>16</v>
      </c>
      <c r="D283" s="166">
        <v>72</v>
      </c>
      <c r="E283" s="158">
        <f t="shared" si="225"/>
        <v>4.5</v>
      </c>
      <c r="F283" s="10">
        <f t="shared" ref="F283:F284" si="226">F282*E283</f>
        <v>540</v>
      </c>
      <c r="G283" s="221">
        <f>G282*E283</f>
        <v>0.37602671601018289</v>
      </c>
      <c r="H283" s="221">
        <f>H282*E283</f>
        <v>0.37500000000000006</v>
      </c>
      <c r="I283" s="221">
        <f>I282*E283</f>
        <v>0.36286578094982647</v>
      </c>
    </row>
    <row r="284" spans="1:9" ht="15" thickBot="1">
      <c r="A284" s="198" t="str">
        <f>A$91</f>
        <v>６速ギヤボックスＨＥ</v>
      </c>
      <c r="B284" s="22"/>
      <c r="C284" s="199"/>
      <c r="D284" s="199"/>
      <c r="E284" s="202">
        <f>F$97</f>
        <v>1300.9461023893111</v>
      </c>
      <c r="F284" s="23">
        <f t="shared" si="226"/>
        <v>702510.89529022796</v>
      </c>
      <c r="G284" s="23">
        <f>G283*E284</f>
        <v>489.1904905876998</v>
      </c>
      <c r="H284" s="23">
        <f>H283*E284</f>
        <v>487.85478839599176</v>
      </c>
      <c r="I284" s="23">
        <f>I283*E284</f>
        <v>472.06882341713026</v>
      </c>
    </row>
    <row r="285" spans="1:9" ht="15" thickBot="1">
      <c r="A285" s="211"/>
      <c r="B285" s="204"/>
      <c r="C285" s="205"/>
      <c r="D285" s="205"/>
      <c r="E285" s="209"/>
      <c r="F285" s="208"/>
      <c r="G285" s="204"/>
      <c r="H285" s="204"/>
      <c r="I285" s="204"/>
    </row>
    <row r="286" spans="1:9">
      <c r="A286" s="251" t="s">
        <v>723</v>
      </c>
      <c r="B286" s="252"/>
      <c r="C286" s="253">
        <v>1</v>
      </c>
      <c r="D286" s="254">
        <v>144</v>
      </c>
      <c r="E286" s="255">
        <f t="shared" ref="E286:E287" si="227">D286/C286</f>
        <v>144</v>
      </c>
      <c r="F286" s="256">
        <f>E286</f>
        <v>144</v>
      </c>
      <c r="G286" s="257">
        <f>G$213*E286</f>
        <v>0.10027379093604877</v>
      </c>
      <c r="H286" s="257">
        <f>H$213*F286</f>
        <v>0.1</v>
      </c>
      <c r="I286" s="257">
        <f>I$213*F286</f>
        <v>9.6764208253287048E-2</v>
      </c>
    </row>
    <row r="287" spans="1:9">
      <c r="A287" s="258" t="s">
        <v>726</v>
      </c>
      <c r="B287" s="252"/>
      <c r="C287" s="253">
        <v>12</v>
      </c>
      <c r="D287" s="253">
        <v>70</v>
      </c>
      <c r="E287" s="255">
        <f t="shared" si="227"/>
        <v>5.833333333333333</v>
      </c>
      <c r="F287" s="259">
        <f t="shared" ref="F287:F288" si="228">F286*E287</f>
        <v>840</v>
      </c>
      <c r="G287" s="260">
        <f>G286*E287</f>
        <v>0.58493044712695108</v>
      </c>
      <c r="H287" s="260">
        <f>H286*E287</f>
        <v>0.58333333333333337</v>
      </c>
      <c r="I287" s="260">
        <f>I286*E287</f>
        <v>0.56445788147750775</v>
      </c>
    </row>
    <row r="288" spans="1:9" ht="15" thickBot="1">
      <c r="A288" s="261" t="str">
        <f>A$175</f>
        <v>4速ウォームギヤボックスHE</v>
      </c>
      <c r="B288" s="262"/>
      <c r="C288" s="263"/>
      <c r="D288" s="263"/>
      <c r="E288" s="264">
        <f>F$179</f>
        <v>1428.2448979591841</v>
      </c>
      <c r="F288" s="265">
        <f t="shared" si="228"/>
        <v>1199725.7142857146</v>
      </c>
      <c r="G288" s="265">
        <f>G287*E288</f>
        <v>835.42392677005216</v>
      </c>
      <c r="H288" s="265">
        <f>H287*E288</f>
        <v>833.14285714285745</v>
      </c>
      <c r="I288" s="265">
        <f>I287*E288</f>
        <v>806.18408933310025</v>
      </c>
    </row>
    <row r="289" spans="1:10">
      <c r="A289" s="266" t="s">
        <v>723</v>
      </c>
      <c r="B289" s="252"/>
      <c r="C289" s="253">
        <v>1</v>
      </c>
      <c r="D289" s="253">
        <v>144</v>
      </c>
      <c r="E289" s="255">
        <f t="shared" ref="E289:E290" si="229">D289/C289</f>
        <v>144</v>
      </c>
      <c r="F289" s="259">
        <f>E289</f>
        <v>144</v>
      </c>
      <c r="G289" s="257">
        <f>G$213*E289</f>
        <v>0.10027379093604877</v>
      </c>
      <c r="H289" s="257">
        <f>H$213*F289</f>
        <v>0.1</v>
      </c>
      <c r="I289" s="257">
        <f>I$213*F289</f>
        <v>9.6764208253287048E-2</v>
      </c>
    </row>
    <row r="290" spans="1:10">
      <c r="A290" s="258" t="s">
        <v>726</v>
      </c>
      <c r="B290" s="252"/>
      <c r="C290" s="253">
        <v>12</v>
      </c>
      <c r="D290" s="253">
        <v>80</v>
      </c>
      <c r="E290" s="255">
        <f t="shared" si="229"/>
        <v>6.666666666666667</v>
      </c>
      <c r="F290" s="259">
        <f t="shared" ref="F290:F291" si="230">F289*E290</f>
        <v>960</v>
      </c>
      <c r="G290" s="260">
        <f>G289*E290</f>
        <v>0.66849193957365849</v>
      </c>
      <c r="H290" s="260">
        <f>H289*E290</f>
        <v>0.66666666666666674</v>
      </c>
      <c r="I290" s="260">
        <f>I289*E290</f>
        <v>0.6450947216885804</v>
      </c>
    </row>
    <row r="291" spans="1:10" ht="15" thickBot="1">
      <c r="A291" s="261" t="str">
        <f>A$175</f>
        <v>4速ウォームギヤボックスHE</v>
      </c>
      <c r="B291" s="262"/>
      <c r="C291" s="263"/>
      <c r="D291" s="263"/>
      <c r="E291" s="264">
        <f>F$179</f>
        <v>1428.2448979591841</v>
      </c>
      <c r="F291" s="265">
        <f t="shared" si="230"/>
        <v>1371115.1020408168</v>
      </c>
      <c r="G291" s="265">
        <f>G290*E291</f>
        <v>954.77020202291692</v>
      </c>
      <c r="H291" s="265">
        <f>H290*E291</f>
        <v>952.16326530612287</v>
      </c>
      <c r="I291" s="265">
        <f>I290*E291</f>
        <v>921.35324495211478</v>
      </c>
    </row>
    <row r="292" spans="1:10">
      <c r="A292" s="236" t="s">
        <v>722</v>
      </c>
      <c r="B292" s="237"/>
      <c r="C292" s="238">
        <v>1</v>
      </c>
      <c r="D292" s="238">
        <v>144</v>
      </c>
      <c r="E292" s="239">
        <f t="shared" ref="E292:E293" si="231">D292/C292</f>
        <v>144</v>
      </c>
      <c r="F292" s="240">
        <f>E292</f>
        <v>144</v>
      </c>
      <c r="G292" s="241">
        <f>G$213*E292</f>
        <v>0.10027379093604877</v>
      </c>
      <c r="H292" s="241">
        <f>H$213*F292</f>
        <v>0.1</v>
      </c>
      <c r="I292" s="241">
        <f>I$213*F292</f>
        <v>9.6764208253287048E-2</v>
      </c>
    </row>
    <row r="293" spans="1:10">
      <c r="A293" s="242" t="s">
        <v>725</v>
      </c>
      <c r="B293" s="237"/>
      <c r="C293" s="238">
        <v>16</v>
      </c>
      <c r="D293" s="238">
        <v>80</v>
      </c>
      <c r="E293" s="239">
        <f t="shared" si="231"/>
        <v>5</v>
      </c>
      <c r="F293" s="240">
        <f t="shared" ref="F293:F294" si="232">F292*E293</f>
        <v>720</v>
      </c>
      <c r="G293" s="243">
        <f>G292*E293</f>
        <v>0.50136895468024378</v>
      </c>
      <c r="H293" s="243">
        <f>H292*E293</f>
        <v>0.5</v>
      </c>
      <c r="I293" s="243">
        <f>I292*E293</f>
        <v>0.48382104126643521</v>
      </c>
    </row>
    <row r="294" spans="1:10" ht="15" thickBot="1">
      <c r="A294" s="244" t="str">
        <f>A$175</f>
        <v>4速ウォームギヤボックスHE</v>
      </c>
      <c r="B294" s="245"/>
      <c r="C294" s="246"/>
      <c r="D294" s="246"/>
      <c r="E294" s="247">
        <f>F$179</f>
        <v>1428.2448979591841</v>
      </c>
      <c r="F294" s="248">
        <f t="shared" si="232"/>
        <v>1028336.3265306125</v>
      </c>
      <c r="G294" s="248">
        <f>G293*E294</f>
        <v>716.07765151718752</v>
      </c>
      <c r="H294" s="248">
        <f>H293*E294</f>
        <v>714.12244897959204</v>
      </c>
      <c r="I294" s="248">
        <f>I293*E294</f>
        <v>691.01493371408594</v>
      </c>
    </row>
    <row r="295" spans="1:10" ht="15" thickBot="1">
      <c r="A295" s="211"/>
      <c r="B295" s="204"/>
      <c r="C295" s="205"/>
      <c r="D295" s="205"/>
      <c r="E295" s="209"/>
      <c r="F295" s="204"/>
      <c r="G295" s="204"/>
      <c r="H295" s="204"/>
      <c r="I295" s="204"/>
    </row>
    <row r="296" spans="1:10">
      <c r="A296" s="236" t="s">
        <v>815</v>
      </c>
      <c r="B296" s="237"/>
      <c r="C296" s="238">
        <v>1</v>
      </c>
      <c r="D296" s="238">
        <v>144</v>
      </c>
      <c r="E296" s="239">
        <f t="shared" ref="E296:E297" si="233">D296/C296</f>
        <v>144</v>
      </c>
      <c r="F296" s="240">
        <f>E296</f>
        <v>144</v>
      </c>
      <c r="G296" s="241">
        <f>G$213*E296</f>
        <v>0.10027379093604877</v>
      </c>
      <c r="H296" s="241">
        <f>H$213*F296</f>
        <v>0.1</v>
      </c>
      <c r="I296" s="241">
        <f>I$213*F296</f>
        <v>9.6764208253287048E-2</v>
      </c>
    </row>
    <row r="297" spans="1:10">
      <c r="A297" s="242" t="s">
        <v>725</v>
      </c>
      <c r="B297" s="237"/>
      <c r="C297" s="238">
        <v>15</v>
      </c>
      <c r="D297" s="238">
        <v>64</v>
      </c>
      <c r="E297" s="239">
        <f t="shared" si="233"/>
        <v>4.2666666666666666</v>
      </c>
      <c r="F297" s="240">
        <f t="shared" ref="F297:F298" si="234">F296*E297</f>
        <v>614.4</v>
      </c>
      <c r="G297" s="243">
        <f>G296*E297</f>
        <v>0.42783484132714139</v>
      </c>
      <c r="H297" s="243">
        <f>H296*E297</f>
        <v>0.42666666666666669</v>
      </c>
      <c r="I297" s="243">
        <f>I296*E297</f>
        <v>0.41286062188069139</v>
      </c>
      <c r="J297" t="s">
        <v>823</v>
      </c>
    </row>
    <row r="298" spans="1:10" ht="15" thickBot="1">
      <c r="A298" s="249" t="s">
        <v>758</v>
      </c>
      <c r="B298" s="245"/>
      <c r="C298" s="246"/>
      <c r="D298" s="246"/>
      <c r="E298" s="250">
        <f>F$202</f>
        <v>2494.7890625</v>
      </c>
      <c r="F298" s="248">
        <f t="shared" si="234"/>
        <v>1532798.4</v>
      </c>
      <c r="G298" s="248">
        <f>G297*E298</f>
        <v>1067.3576826993753</v>
      </c>
      <c r="H298" s="248">
        <f>H297*E298</f>
        <v>1064.4433333333334</v>
      </c>
      <c r="I298" s="248">
        <f>I297*E298</f>
        <v>1030.0001638048971</v>
      </c>
    </row>
    <row r="299" spans="1:10">
      <c r="A299" s="236" t="s">
        <v>816</v>
      </c>
      <c r="B299" s="237"/>
      <c r="C299" s="238">
        <v>1</v>
      </c>
      <c r="D299" s="238">
        <v>144</v>
      </c>
      <c r="E299" s="239">
        <f t="shared" ref="E299:E300" si="235">D299/C299</f>
        <v>144</v>
      </c>
      <c r="F299" s="240">
        <f>E299</f>
        <v>144</v>
      </c>
      <c r="G299" s="241">
        <f>G$213*E299</f>
        <v>0.10027379093604877</v>
      </c>
      <c r="H299" s="241">
        <f>H$213*F299</f>
        <v>0.1</v>
      </c>
      <c r="I299" s="241">
        <f>I$213*F299</f>
        <v>9.6764208253287048E-2</v>
      </c>
    </row>
    <row r="300" spans="1:10">
      <c r="A300" s="242" t="s">
        <v>724</v>
      </c>
      <c r="B300" s="237"/>
      <c r="C300" s="238">
        <v>12</v>
      </c>
      <c r="D300" s="238">
        <v>60</v>
      </c>
      <c r="E300" s="239">
        <f t="shared" si="235"/>
        <v>5</v>
      </c>
      <c r="F300" s="240">
        <f t="shared" ref="F300:F301" si="236">F299*E300</f>
        <v>720</v>
      </c>
      <c r="G300" s="243">
        <f>G299*E300</f>
        <v>0.50136895468024378</v>
      </c>
      <c r="H300" s="243">
        <f>H299*E300</f>
        <v>0.5</v>
      </c>
      <c r="I300" s="243">
        <f>I299*E300</f>
        <v>0.48382104126643521</v>
      </c>
    </row>
    <row r="301" spans="1:10" ht="15" thickBot="1">
      <c r="A301" s="249" t="s">
        <v>758</v>
      </c>
      <c r="B301" s="245"/>
      <c r="C301" s="246"/>
      <c r="D301" s="246"/>
      <c r="E301" s="250">
        <f>F$202</f>
        <v>2494.7890625</v>
      </c>
      <c r="F301" s="248">
        <f t="shared" si="236"/>
        <v>1796248.125</v>
      </c>
      <c r="G301" s="248">
        <f>G300*E301</f>
        <v>1250.8097844133304</v>
      </c>
      <c r="H301" s="248">
        <f>H300*E301</f>
        <v>1247.39453125</v>
      </c>
      <c r="I301" s="248">
        <f>I300*E301</f>
        <v>1207.0314419588638</v>
      </c>
    </row>
    <row r="302" spans="1:10">
      <c r="A302" s="210" t="s">
        <v>720</v>
      </c>
      <c r="B302" s="9"/>
      <c r="C302" s="166">
        <v>1</v>
      </c>
      <c r="D302" s="166">
        <v>120</v>
      </c>
      <c r="E302" s="158">
        <f t="shared" ref="E302:E303" si="237">D302/C302</f>
        <v>120</v>
      </c>
      <c r="F302" s="10">
        <f>E302</f>
        <v>120</v>
      </c>
      <c r="G302" s="222">
        <f>G$213*E302</f>
        <v>8.3561492446707311E-2</v>
      </c>
      <c r="H302" s="222">
        <f>H$213*F302</f>
        <v>8.3333333333333343E-2</v>
      </c>
      <c r="I302" s="222">
        <f>I$213*F302</f>
        <v>8.063684021107255E-2</v>
      </c>
    </row>
    <row r="303" spans="1:10">
      <c r="A303" s="201" t="s">
        <v>725</v>
      </c>
      <c r="B303" s="9"/>
      <c r="C303" s="166">
        <v>15</v>
      </c>
      <c r="D303" s="166">
        <v>64</v>
      </c>
      <c r="E303" s="158">
        <f t="shared" si="237"/>
        <v>4.2666666666666666</v>
      </c>
      <c r="F303" s="10">
        <f t="shared" ref="F303:F304" si="238">F302*E303</f>
        <v>512</v>
      </c>
      <c r="G303" s="221">
        <f>G302*E303</f>
        <v>0.35652903443928452</v>
      </c>
      <c r="H303" s="221">
        <f>H302*E303</f>
        <v>0.35555555555555557</v>
      </c>
      <c r="I303" s="221">
        <f>I302*E303</f>
        <v>0.34405051823390953</v>
      </c>
    </row>
    <row r="304" spans="1:10" ht="15" thickBot="1">
      <c r="A304" s="219" t="s">
        <v>758</v>
      </c>
      <c r="B304" s="22"/>
      <c r="C304" s="199"/>
      <c r="D304" s="199"/>
      <c r="E304" s="200">
        <f>F$202</f>
        <v>2494.7890625</v>
      </c>
      <c r="F304" s="23">
        <f t="shared" si="238"/>
        <v>1277332</v>
      </c>
      <c r="G304" s="23">
        <f>G303*E304</f>
        <v>889.46473558281286</v>
      </c>
      <c r="H304" s="23">
        <f>H303*E304</f>
        <v>887.03611111111115</v>
      </c>
      <c r="I304" s="23">
        <f>I303*E304</f>
        <v>858.33346983741433</v>
      </c>
    </row>
    <row r="305" spans="1:10">
      <c r="A305" s="197" t="s">
        <v>720</v>
      </c>
      <c r="B305" s="9"/>
      <c r="C305" s="166">
        <v>1</v>
      </c>
      <c r="D305" s="166">
        <v>120</v>
      </c>
      <c r="E305" s="158">
        <f t="shared" ref="E305:E306" si="239">D305/C305</f>
        <v>120</v>
      </c>
      <c r="F305" s="10">
        <f>E305</f>
        <v>120</v>
      </c>
      <c r="G305" s="222">
        <f>G$213*E305</f>
        <v>8.3561492446707311E-2</v>
      </c>
      <c r="H305" s="222">
        <f>H$213*F305</f>
        <v>8.3333333333333343E-2</v>
      </c>
      <c r="I305" s="222">
        <f>I$213*F305</f>
        <v>8.063684021107255E-2</v>
      </c>
    </row>
    <row r="306" spans="1:10">
      <c r="A306" s="201" t="s">
        <v>724</v>
      </c>
      <c r="B306" s="9"/>
      <c r="C306" s="166">
        <v>12</v>
      </c>
      <c r="D306" s="166">
        <v>70</v>
      </c>
      <c r="E306" s="158">
        <f t="shared" si="239"/>
        <v>5.833333333333333</v>
      </c>
      <c r="F306" s="10">
        <f t="shared" ref="F306:F307" si="240">F305*E306</f>
        <v>700</v>
      </c>
      <c r="G306" s="221">
        <f>G305*E306</f>
        <v>0.48744203927245927</v>
      </c>
      <c r="H306" s="221">
        <f>H305*E306</f>
        <v>0.48611111111111116</v>
      </c>
      <c r="I306" s="221">
        <f>I305*E306</f>
        <v>0.47038156789792318</v>
      </c>
    </row>
    <row r="307" spans="1:10" ht="15" thickBot="1">
      <c r="A307" s="219" t="s">
        <v>758</v>
      </c>
      <c r="B307" s="22"/>
      <c r="C307" s="199"/>
      <c r="D307" s="199"/>
      <c r="E307" s="200">
        <f>F$202</f>
        <v>2494.7890625</v>
      </c>
      <c r="F307" s="23">
        <f t="shared" si="240"/>
        <v>1746352.34375</v>
      </c>
      <c r="G307" s="23">
        <f>G306*E307</f>
        <v>1216.0650681796269</v>
      </c>
      <c r="H307" s="23">
        <f>H306*E307</f>
        <v>1212.7446831597224</v>
      </c>
      <c r="I307" s="23">
        <f>I306*E307</f>
        <v>1173.50279079334</v>
      </c>
    </row>
    <row r="308" spans="1:10" ht="15" thickBot="1">
      <c r="A308" s="211"/>
      <c r="B308" s="204"/>
      <c r="C308" s="205"/>
      <c r="D308" s="205"/>
      <c r="E308" s="209"/>
      <c r="F308" s="204"/>
      <c r="G308" s="204"/>
      <c r="H308" s="204"/>
      <c r="I308" s="204"/>
    </row>
    <row r="309" spans="1:10">
      <c r="A309" s="236" t="s">
        <v>722</v>
      </c>
      <c r="B309" s="237"/>
      <c r="C309" s="238">
        <v>1</v>
      </c>
      <c r="D309" s="238">
        <v>144</v>
      </c>
      <c r="E309" s="239">
        <f t="shared" ref="E309:E310" si="241">D309/C309</f>
        <v>144</v>
      </c>
      <c r="F309" s="240">
        <f>E309</f>
        <v>144</v>
      </c>
      <c r="G309" s="241">
        <f>G$213*E309</f>
        <v>0.10027379093604877</v>
      </c>
      <c r="H309" s="241">
        <f>H$213*F309</f>
        <v>0.1</v>
      </c>
      <c r="I309" s="241">
        <f>I$213*F309</f>
        <v>9.6764208253287048E-2</v>
      </c>
    </row>
    <row r="310" spans="1:10">
      <c r="A310" s="242" t="s">
        <v>725</v>
      </c>
      <c r="B310" s="237"/>
      <c r="C310" s="238">
        <v>15</v>
      </c>
      <c r="D310" s="238">
        <v>50</v>
      </c>
      <c r="E310" s="239">
        <f t="shared" si="241"/>
        <v>3.3333333333333335</v>
      </c>
      <c r="F310" s="240">
        <f t="shared" ref="F310:F311" si="242">F309*E310</f>
        <v>480</v>
      </c>
      <c r="G310" s="243">
        <f>G309*E310</f>
        <v>0.33424596978682924</v>
      </c>
      <c r="H310" s="243">
        <f>H309*E310</f>
        <v>0.33333333333333337</v>
      </c>
      <c r="I310" s="243">
        <f>I309*E310</f>
        <v>0.3225473608442902</v>
      </c>
      <c r="J310" t="s">
        <v>823</v>
      </c>
    </row>
    <row r="311" spans="1:10" ht="15" thickBot="1">
      <c r="A311" s="249" t="s">
        <v>759</v>
      </c>
      <c r="B311" s="245"/>
      <c r="C311" s="246"/>
      <c r="D311" s="246"/>
      <c r="E311" s="250">
        <f>F$210</f>
        <v>2478.6</v>
      </c>
      <c r="F311" s="248">
        <f t="shared" si="242"/>
        <v>1189728</v>
      </c>
      <c r="G311" s="248">
        <f>G310*E311</f>
        <v>828.46206071363497</v>
      </c>
      <c r="H311" s="248">
        <f>H310*E311</f>
        <v>826.2</v>
      </c>
      <c r="I311" s="248">
        <f>I310*E311</f>
        <v>799.46588858865766</v>
      </c>
    </row>
    <row r="312" spans="1:10">
      <c r="A312" s="236" t="s">
        <v>722</v>
      </c>
      <c r="B312" s="237"/>
      <c r="C312" s="238">
        <v>1</v>
      </c>
      <c r="D312" s="238">
        <v>144</v>
      </c>
      <c r="E312" s="239">
        <f t="shared" ref="E312:E313" si="243">D312/C312</f>
        <v>144</v>
      </c>
      <c r="F312" s="240">
        <f>E312</f>
        <v>144</v>
      </c>
      <c r="G312" s="241">
        <f>G$213*E312</f>
        <v>0.10027379093604877</v>
      </c>
      <c r="H312" s="241">
        <f>H$213*F312</f>
        <v>0.1</v>
      </c>
      <c r="I312" s="241">
        <f>I$213*F312</f>
        <v>9.6764208253287048E-2</v>
      </c>
    </row>
    <row r="313" spans="1:10">
      <c r="A313" s="242" t="s">
        <v>724</v>
      </c>
      <c r="B313" s="237"/>
      <c r="C313" s="238">
        <v>12</v>
      </c>
      <c r="D313" s="238">
        <v>56</v>
      </c>
      <c r="E313" s="239">
        <f t="shared" si="243"/>
        <v>4.666666666666667</v>
      </c>
      <c r="F313" s="240">
        <f t="shared" ref="F313:F314" si="244">F312*E313</f>
        <v>672</v>
      </c>
      <c r="G313" s="243">
        <f>G312*E313</f>
        <v>0.46794435770156095</v>
      </c>
      <c r="H313" s="243">
        <f>H312*E313</f>
        <v>0.46666666666666673</v>
      </c>
      <c r="I313" s="243">
        <f>I312*E313</f>
        <v>0.45156630518200624</v>
      </c>
    </row>
    <row r="314" spans="1:10" ht="15" thickBot="1">
      <c r="A314" s="249" t="s">
        <v>759</v>
      </c>
      <c r="B314" s="245"/>
      <c r="C314" s="246"/>
      <c r="D314" s="246"/>
      <c r="E314" s="250">
        <f>F$210</f>
        <v>2478.6</v>
      </c>
      <c r="F314" s="248">
        <f t="shared" si="244"/>
        <v>1665619.2</v>
      </c>
      <c r="G314" s="248">
        <f>G313*E314</f>
        <v>1159.8468849990888</v>
      </c>
      <c r="H314" s="248">
        <f>H313*E314</f>
        <v>1156.68</v>
      </c>
      <c r="I314" s="248">
        <f>I313*E314</f>
        <v>1119.2522440241207</v>
      </c>
    </row>
    <row r="315" spans="1:10">
      <c r="A315" s="210" t="s">
        <v>720</v>
      </c>
      <c r="B315" s="9"/>
      <c r="C315" s="166">
        <v>1</v>
      </c>
      <c r="D315" s="166">
        <v>120</v>
      </c>
      <c r="E315" s="158">
        <f t="shared" ref="E315:E316" si="245">D315/C315</f>
        <v>120</v>
      </c>
      <c r="F315" s="10">
        <f>E315</f>
        <v>120</v>
      </c>
      <c r="G315" s="222">
        <f>G$213*E315</f>
        <v>8.3561492446707311E-2</v>
      </c>
      <c r="H315" s="222">
        <f>H$213*F315</f>
        <v>8.3333333333333343E-2</v>
      </c>
      <c r="I315" s="222">
        <f>I$213*F315</f>
        <v>8.063684021107255E-2</v>
      </c>
    </row>
    <row r="316" spans="1:10">
      <c r="A316" s="201" t="s">
        <v>725</v>
      </c>
      <c r="B316" s="9"/>
      <c r="C316" s="166">
        <v>15</v>
      </c>
      <c r="D316" s="166">
        <v>64</v>
      </c>
      <c r="E316" s="158">
        <f t="shared" si="245"/>
        <v>4.2666666666666666</v>
      </c>
      <c r="F316" s="10">
        <f t="shared" ref="F316:F317" si="246">F315*E316</f>
        <v>512</v>
      </c>
      <c r="G316" s="221">
        <f>G315*E316</f>
        <v>0.35652903443928452</v>
      </c>
      <c r="H316" s="221">
        <f>H315*E316</f>
        <v>0.35555555555555557</v>
      </c>
      <c r="I316" s="221">
        <f>I315*E316</f>
        <v>0.34405051823390953</v>
      </c>
    </row>
    <row r="317" spans="1:10" ht="15" thickBot="1">
      <c r="A317" s="219" t="s">
        <v>759</v>
      </c>
      <c r="B317" s="22"/>
      <c r="C317" s="199"/>
      <c r="D317" s="199"/>
      <c r="E317" s="200">
        <f>F$210</f>
        <v>2478.6</v>
      </c>
      <c r="F317" s="23">
        <f t="shared" si="246"/>
        <v>1269043.2</v>
      </c>
      <c r="G317" s="23">
        <f>G316*E317</f>
        <v>883.69286476121056</v>
      </c>
      <c r="H317" s="23">
        <f>H316*E317</f>
        <v>881.28</v>
      </c>
      <c r="I317" s="23">
        <f>I316*E317</f>
        <v>852.76361449456817</v>
      </c>
    </row>
    <row r="318" spans="1:10">
      <c r="A318" s="197" t="s">
        <v>720</v>
      </c>
      <c r="B318" s="9"/>
      <c r="C318" s="166">
        <v>1</v>
      </c>
      <c r="D318" s="166">
        <v>120</v>
      </c>
      <c r="E318" s="158">
        <f t="shared" ref="E318:E319" si="247">D318/C318</f>
        <v>120</v>
      </c>
      <c r="F318" s="10">
        <f>E318</f>
        <v>120</v>
      </c>
      <c r="G318" s="222">
        <f>G$213*E318</f>
        <v>8.3561492446707311E-2</v>
      </c>
      <c r="H318" s="222">
        <f>H$213*F318</f>
        <v>8.3333333333333343E-2</v>
      </c>
      <c r="I318" s="222">
        <f>I$213*F318</f>
        <v>8.063684021107255E-2</v>
      </c>
    </row>
    <row r="319" spans="1:10">
      <c r="A319" s="201" t="s">
        <v>724</v>
      </c>
      <c r="B319" s="9"/>
      <c r="C319" s="166">
        <v>12</v>
      </c>
      <c r="D319" s="166">
        <v>64</v>
      </c>
      <c r="E319" s="158">
        <f t="shared" si="247"/>
        <v>5.333333333333333</v>
      </c>
      <c r="F319" s="10">
        <f t="shared" ref="F319:F320" si="248">F318*E319</f>
        <v>640</v>
      </c>
      <c r="G319" s="221">
        <f>G318*E319</f>
        <v>0.44566129304910562</v>
      </c>
      <c r="H319" s="221">
        <f>H318*E319</f>
        <v>0.44444444444444448</v>
      </c>
      <c r="I319" s="221">
        <f>I318*E319</f>
        <v>0.43006314779238691</v>
      </c>
    </row>
    <row r="320" spans="1:10" ht="15" thickBot="1">
      <c r="A320" s="219" t="s">
        <v>759</v>
      </c>
      <c r="B320" s="22"/>
      <c r="C320" s="199"/>
      <c r="D320" s="199"/>
      <c r="E320" s="200">
        <f>F$210</f>
        <v>2478.6</v>
      </c>
      <c r="F320" s="23">
        <f t="shared" si="248"/>
        <v>1586304</v>
      </c>
      <c r="G320" s="23">
        <f>G319*E320</f>
        <v>1104.6160809515131</v>
      </c>
      <c r="H320" s="23">
        <f>H319*E320</f>
        <v>1101.6000000000001</v>
      </c>
      <c r="I320" s="23">
        <f>I319*E320</f>
        <v>1065.9545181182102</v>
      </c>
    </row>
    <row r="321" spans="1:26">
      <c r="F321" s="7"/>
    </row>
    <row r="322" spans="1:26">
      <c r="F322" s="7"/>
    </row>
    <row r="327" spans="1:26" hidden="1">
      <c r="R327" t="s">
        <v>36</v>
      </c>
      <c r="T327" s="6" t="s">
        <v>34</v>
      </c>
    </row>
    <row r="328" spans="1:26" hidden="1">
      <c r="T328" s="6">
        <v>2000</v>
      </c>
      <c r="U328" s="6">
        <v>2400</v>
      </c>
      <c r="W328" s="6">
        <v>3600</v>
      </c>
      <c r="Y328" s="6">
        <v>5400</v>
      </c>
    </row>
    <row r="329" spans="1:26" hidden="1">
      <c r="A329"/>
      <c r="C329"/>
      <c r="D329"/>
      <c r="E329"/>
      <c r="M329"/>
      <c r="N329"/>
      <c r="P329"/>
      <c r="R329" s="31">
        <v>1000</v>
      </c>
      <c r="S329" s="29" t="s">
        <v>38</v>
      </c>
    </row>
    <row r="330" spans="1:26" hidden="1">
      <c r="A330"/>
      <c r="C330"/>
      <c r="D330"/>
      <c r="E330"/>
      <c r="M330"/>
      <c r="N330"/>
      <c r="P330"/>
      <c r="R330" s="32">
        <f>1000000/(R329/10*3)</f>
        <v>3333.3333333333335</v>
      </c>
      <c r="S330" s="30" t="s">
        <v>39</v>
      </c>
      <c r="T330" s="6">
        <f>T$328*T331</f>
        <v>1952000</v>
      </c>
      <c r="U330" s="6">
        <f>U$328*U331</f>
        <v>2078400</v>
      </c>
      <c r="W330" s="6">
        <f>W$328*W331</f>
        <v>2052000</v>
      </c>
      <c r="Y330" s="6">
        <f>Y$328*Y331</f>
        <v>2052000</v>
      </c>
    </row>
    <row r="331" spans="1:26" hidden="1">
      <c r="A331"/>
      <c r="C331"/>
      <c r="D331"/>
      <c r="E331"/>
      <c r="M331"/>
      <c r="N331"/>
      <c r="P331"/>
      <c r="R331" s="32">
        <f>1500/7300*R329</f>
        <v>205.47945205479451</v>
      </c>
      <c r="S331" s="30" t="s">
        <v>40</v>
      </c>
      <c r="T331" s="37">
        <v>976</v>
      </c>
      <c r="U331" s="37">
        <v>866</v>
      </c>
      <c r="V331" s="37"/>
      <c r="W331" s="37">
        <v>570</v>
      </c>
      <c r="X331" s="37"/>
      <c r="Y331" s="37">
        <v>380</v>
      </c>
      <c r="Z331" s="6">
        <v>450</v>
      </c>
    </row>
    <row r="332" spans="1:26" ht="15" hidden="1" thickBot="1">
      <c r="A332"/>
      <c r="C332"/>
      <c r="D332"/>
      <c r="E332"/>
      <c r="M332"/>
      <c r="N332"/>
      <c r="P332"/>
      <c r="R332" s="33"/>
      <c r="S332" s="30"/>
      <c r="T332" s="6">
        <f>$R330*($R331+$Z331)/(T$328+$Z332)</f>
        <v>971.08066971080666</v>
      </c>
      <c r="U332" s="6">
        <f>$R330*($R331+$Z331)/(U$328+$Z332)</f>
        <v>824.50245541483582</v>
      </c>
      <c r="W332" s="6">
        <f>$R330*($R331+$Z331)/(W$328+$Z332)</f>
        <v>567.51467710371821</v>
      </c>
      <c r="Y332" s="6">
        <f>$R330*($R331+$Z331)/(Y$328+$Z332)</f>
        <v>386.71354103527699</v>
      </c>
      <c r="Z332" s="6">
        <v>250</v>
      </c>
    </row>
    <row r="333" spans="1:26" hidden="1">
      <c r="A333"/>
      <c r="C333"/>
      <c r="D333"/>
      <c r="E333"/>
      <c r="M333"/>
      <c r="N333"/>
      <c r="P333"/>
      <c r="T333" s="6">
        <f>$Z333/T$328</f>
        <v>1000</v>
      </c>
      <c r="U333" s="6">
        <f>$Z333/U$328</f>
        <v>833.33333333333337</v>
      </c>
      <c r="W333" s="6">
        <f>$Z333/W$328</f>
        <v>555.55555555555554</v>
      </c>
      <c r="Y333" s="6">
        <f>$Z333/Y$328</f>
        <v>370.37037037037038</v>
      </c>
      <c r="Z333" s="6">
        <v>2000000</v>
      </c>
    </row>
    <row r="334" spans="1:26" hidden="1">
      <c r="A334"/>
      <c r="C334"/>
      <c r="D334"/>
      <c r="E334"/>
      <c r="M334"/>
      <c r="N334"/>
      <c r="P334"/>
      <c r="R334" s="31">
        <v>1500</v>
      </c>
      <c r="S334" s="29" t="s">
        <v>38</v>
      </c>
    </row>
    <row r="335" spans="1:26" hidden="1">
      <c r="A335"/>
      <c r="C335"/>
      <c r="D335"/>
      <c r="E335"/>
      <c r="M335"/>
      <c r="N335"/>
      <c r="P335"/>
      <c r="R335" s="32">
        <f>1000000/(R334/10*3)</f>
        <v>2222.2222222222222</v>
      </c>
      <c r="S335" s="30" t="s">
        <v>39</v>
      </c>
      <c r="T335" s="6">
        <f>T$328*T336</f>
        <v>1972000</v>
      </c>
      <c r="U335" s="6">
        <f>U$328*U336</f>
        <v>2222400</v>
      </c>
      <c r="W335" s="6">
        <f>W$328*W336</f>
        <v>2131200</v>
      </c>
      <c r="Y335" s="6">
        <f>Y$328*Y336</f>
        <v>2106000</v>
      </c>
    </row>
    <row r="336" spans="1:26" hidden="1">
      <c r="A336"/>
      <c r="C336"/>
      <c r="D336"/>
      <c r="E336"/>
      <c r="M336"/>
      <c r="N336"/>
      <c r="P336"/>
      <c r="R336" s="32">
        <f>1500/7300*R334</f>
        <v>308.21917808219177</v>
      </c>
      <c r="S336" s="30" t="s">
        <v>40</v>
      </c>
      <c r="T336" s="37">
        <v>986</v>
      </c>
      <c r="U336" s="37">
        <v>926</v>
      </c>
      <c r="V336" s="37"/>
      <c r="W336" s="37">
        <v>592</v>
      </c>
      <c r="X336" s="37"/>
      <c r="Y336" s="37">
        <v>390</v>
      </c>
      <c r="Z336" s="6">
        <v>800</v>
      </c>
    </row>
    <row r="337" spans="1:26" ht="15" hidden="1" thickBot="1">
      <c r="A337"/>
      <c r="C337"/>
      <c r="D337"/>
      <c r="E337"/>
      <c r="M337"/>
      <c r="N337"/>
      <c r="P337"/>
      <c r="R337" s="33"/>
      <c r="S337" s="30"/>
      <c r="T337" s="6">
        <f>$R335*($R336+$Z336)/(T$328+$Z337)</f>
        <v>985.08371385083717</v>
      </c>
      <c r="U337" s="6">
        <f>$R335*($R336+$Z336)/(U$328+$Z337)</f>
        <v>849.21009814727347</v>
      </c>
      <c r="W337" s="6">
        <f>$R335*($R336+$Z336)/(W$328+$Z337)</f>
        <v>600.66080112855923</v>
      </c>
      <c r="Y337" s="6">
        <f>$R335*($R336+$Z336)/(Y$328+$Z337)</f>
        <v>417.40835332662596</v>
      </c>
      <c r="Z337" s="6">
        <v>500</v>
      </c>
    </row>
    <row r="338" spans="1:26" hidden="1">
      <c r="A338"/>
      <c r="C338"/>
      <c r="D338"/>
      <c r="E338"/>
      <c r="M338"/>
      <c r="N338"/>
      <c r="P338"/>
      <c r="T338" s="6">
        <f>$Z338/T$328</f>
        <v>1050</v>
      </c>
      <c r="U338" s="6">
        <f>$Z338/U$328</f>
        <v>875</v>
      </c>
      <c r="W338" s="6">
        <f>$Z338/W$328</f>
        <v>583.33333333333337</v>
      </c>
      <c r="Y338" s="6">
        <f>$Z338/Y$328</f>
        <v>388.88888888888891</v>
      </c>
      <c r="Z338" s="6">
        <v>2100000</v>
      </c>
    </row>
    <row r="339" spans="1:26" hidden="1">
      <c r="A339"/>
      <c r="C339"/>
      <c r="D339"/>
      <c r="E339"/>
      <c r="M339"/>
      <c r="N339"/>
      <c r="P339"/>
      <c r="R339" s="31">
        <v>2000</v>
      </c>
      <c r="S339" s="29" t="s">
        <v>38</v>
      </c>
    </row>
    <row r="340" spans="1:26" hidden="1">
      <c r="A340"/>
      <c r="C340"/>
      <c r="D340"/>
      <c r="E340"/>
      <c r="M340"/>
      <c r="N340"/>
      <c r="P340"/>
      <c r="R340" s="32">
        <f>1000000/(R339/10*3)</f>
        <v>1666.6666666666667</v>
      </c>
      <c r="S340" s="30" t="s">
        <v>39</v>
      </c>
      <c r="T340" s="6">
        <f>T$328*T341</f>
        <v>1960000</v>
      </c>
      <c r="U340" s="6">
        <f>U$328*U341</f>
        <v>2332800</v>
      </c>
      <c r="W340" s="6">
        <f>W$328*W341</f>
        <v>2304000</v>
      </c>
      <c r="Y340" s="6">
        <f>Y$328*Y341</f>
        <v>2214000</v>
      </c>
    </row>
    <row r="341" spans="1:26" hidden="1">
      <c r="A341"/>
      <c r="C341"/>
      <c r="D341"/>
      <c r="E341"/>
      <c r="M341"/>
      <c r="N341"/>
      <c r="P341"/>
      <c r="R341" s="32">
        <f>1500/7300*R339</f>
        <v>410.95890410958901</v>
      </c>
      <c r="S341" s="30" t="s">
        <v>40</v>
      </c>
      <c r="T341" s="37">
        <v>980</v>
      </c>
      <c r="U341" s="37">
        <v>972</v>
      </c>
      <c r="V341" s="37"/>
      <c r="W341" s="37">
        <v>640</v>
      </c>
      <c r="X341" s="37"/>
      <c r="Y341" s="37">
        <v>410</v>
      </c>
      <c r="Z341" s="6">
        <v>1050</v>
      </c>
    </row>
    <row r="342" spans="1:26" ht="15" hidden="1" thickBot="1">
      <c r="A342"/>
      <c r="C342"/>
      <c r="D342"/>
      <c r="E342"/>
      <c r="M342"/>
      <c r="N342"/>
      <c r="P342"/>
      <c r="R342" s="33"/>
      <c r="S342" s="30"/>
      <c r="T342" s="6">
        <f>$R340*($R341+$Z341)/(T$328+$Z342)</f>
        <v>973.97260273972597</v>
      </c>
      <c r="U342" s="6">
        <f>$R340*($R341+$Z341)/(U$328+$Z342)</f>
        <v>839.63155408597072</v>
      </c>
      <c r="W342" s="6">
        <f>$R340*($R341+$Z341)/(W$328+$Z342)</f>
        <v>593.88573337788171</v>
      </c>
      <c r="Y342" s="6">
        <f>$R340*($R341+$Z341)/(Y$328+$Z342)</f>
        <v>412.70025539818897</v>
      </c>
      <c r="Z342" s="6">
        <v>500</v>
      </c>
    </row>
    <row r="343" spans="1:26" hidden="1">
      <c r="A343"/>
      <c r="C343"/>
      <c r="D343"/>
      <c r="E343"/>
      <c r="M343"/>
      <c r="N343"/>
      <c r="P343"/>
      <c r="T343" s="6">
        <f>$Z343/T$328</f>
        <v>1100</v>
      </c>
      <c r="U343" s="6">
        <f>$Z343/U$328</f>
        <v>916.66666666666663</v>
      </c>
      <c r="W343" s="6">
        <f>$Z343/W$328</f>
        <v>611.11111111111109</v>
      </c>
      <c r="Y343" s="6">
        <f>$Z343/Y$328</f>
        <v>407.40740740740739</v>
      </c>
      <c r="Z343" s="6">
        <v>2200000</v>
      </c>
    </row>
    <row r="344" spans="1:26" hidden="1">
      <c r="A344"/>
      <c r="C344"/>
      <c r="D344"/>
      <c r="E344"/>
      <c r="M344"/>
      <c r="N344"/>
      <c r="P344"/>
      <c r="R344" s="31">
        <v>2500</v>
      </c>
      <c r="S344" s="29" t="s">
        <v>38</v>
      </c>
    </row>
    <row r="345" spans="1:26" hidden="1">
      <c r="A345"/>
      <c r="C345"/>
      <c r="D345"/>
      <c r="E345"/>
      <c r="M345"/>
      <c r="N345"/>
      <c r="P345"/>
      <c r="R345" s="32">
        <f>1000000/(R344/10*3)</f>
        <v>1333.3333333333333</v>
      </c>
      <c r="S345" s="30" t="s">
        <v>39</v>
      </c>
      <c r="T345" s="6">
        <f>T$328*T346</f>
        <v>2200000</v>
      </c>
      <c r="U345" s="6">
        <f>U$328*U346</f>
        <v>1862400</v>
      </c>
      <c r="W345" s="6">
        <f>W$328*W346</f>
        <v>2152800</v>
      </c>
      <c r="Y345" s="6">
        <f>Y$328*Y346</f>
        <v>2300400</v>
      </c>
    </row>
    <row r="346" spans="1:26" hidden="1">
      <c r="A346"/>
      <c r="C346"/>
      <c r="D346"/>
      <c r="E346"/>
      <c r="M346"/>
      <c r="N346"/>
      <c r="P346"/>
      <c r="R346" s="32">
        <f>1500/7300*R344</f>
        <v>513.69863013698625</v>
      </c>
      <c r="S346" s="30" t="s">
        <v>40</v>
      </c>
      <c r="T346" s="37">
        <v>1100</v>
      </c>
      <c r="U346" s="37">
        <v>776</v>
      </c>
      <c r="V346" s="37"/>
      <c r="W346" s="37">
        <v>598</v>
      </c>
      <c r="X346" s="37"/>
      <c r="Y346" s="37">
        <v>426</v>
      </c>
      <c r="Z346" s="6">
        <v>1300</v>
      </c>
    </row>
    <row r="347" spans="1:26" ht="15" hidden="1" thickBot="1">
      <c r="A347"/>
      <c r="C347"/>
      <c r="D347"/>
      <c r="E347"/>
      <c r="M347"/>
      <c r="N347"/>
      <c r="P347"/>
      <c r="R347" s="33"/>
      <c r="S347" s="30"/>
      <c r="T347" s="6">
        <f>$R345*($R346+$Z346)/(T$328+$Z347)</f>
        <v>967.30593607305923</v>
      </c>
      <c r="U347" s="6">
        <f>$R345*($R346+$Z346)/(U$328+$Z347)</f>
        <v>833.88442764918898</v>
      </c>
      <c r="W347" s="6">
        <f>$R345*($R346+$Z346)/(W$328+$Z347)</f>
        <v>589.82069272747515</v>
      </c>
      <c r="Y347" s="6">
        <f>$R345*($R346+$Z346)/(Y$328+$Z347)</f>
        <v>409.87539664112677</v>
      </c>
      <c r="Z347" s="6">
        <v>500</v>
      </c>
    </row>
    <row r="348" spans="1:26" hidden="1">
      <c r="A348"/>
      <c r="C348"/>
      <c r="D348"/>
      <c r="E348"/>
      <c r="M348"/>
      <c r="N348"/>
      <c r="P348"/>
      <c r="T348" s="6">
        <f>$Z348/T$328</f>
        <v>1000</v>
      </c>
      <c r="U348" s="6">
        <f>$Z348/U$328</f>
        <v>833.33333333333337</v>
      </c>
      <c r="W348" s="6">
        <f>$Z348/W$328</f>
        <v>555.55555555555554</v>
      </c>
      <c r="Y348" s="6">
        <f>$Z348/Y$328</f>
        <v>370.37037037037038</v>
      </c>
      <c r="Z348" s="6">
        <v>2000000</v>
      </c>
    </row>
    <row r="349" spans="1:26" hidden="1">
      <c r="A349"/>
      <c r="C349"/>
      <c r="D349"/>
      <c r="E349"/>
      <c r="M349"/>
      <c r="N349"/>
      <c r="P349"/>
    </row>
    <row r="350" spans="1:26" hidden="1">
      <c r="A350"/>
      <c r="C350"/>
      <c r="D350"/>
      <c r="E350"/>
      <c r="M350"/>
      <c r="N350"/>
      <c r="P350"/>
      <c r="R350" t="s">
        <v>36</v>
      </c>
      <c r="T350" s="6" t="s">
        <v>37</v>
      </c>
    </row>
    <row r="351" spans="1:26" hidden="1">
      <c r="A351"/>
      <c r="C351"/>
      <c r="D351"/>
      <c r="E351"/>
      <c r="M351"/>
      <c r="N351"/>
      <c r="P351"/>
      <c r="T351" s="6">
        <v>1800</v>
      </c>
      <c r="U351" s="6">
        <v>2400</v>
      </c>
      <c r="V351" s="6">
        <v>3000</v>
      </c>
      <c r="W351" s="6">
        <v>3600</v>
      </c>
      <c r="X351" s="6">
        <v>4500</v>
      </c>
      <c r="Y351" s="6">
        <v>5400</v>
      </c>
    </row>
    <row r="352" spans="1:26" hidden="1">
      <c r="A352"/>
      <c r="C352"/>
      <c r="D352"/>
      <c r="E352"/>
      <c r="M352"/>
      <c r="N352"/>
      <c r="P352"/>
      <c r="R352" s="31">
        <v>1000</v>
      </c>
      <c r="S352" s="29" t="s">
        <v>38</v>
      </c>
      <c r="T352" s="36">
        <v>280</v>
      </c>
      <c r="U352" s="36">
        <v>202</v>
      </c>
      <c r="V352" s="36">
        <v>156</v>
      </c>
      <c r="W352" s="36">
        <v>130</v>
      </c>
      <c r="X352" s="36">
        <v>104</v>
      </c>
      <c r="Y352" s="36">
        <v>84</v>
      </c>
    </row>
    <row r="353" spans="1:26" hidden="1">
      <c r="A353"/>
      <c r="C353"/>
      <c r="D353"/>
      <c r="E353"/>
      <c r="M353"/>
      <c r="N353"/>
      <c r="P353"/>
      <c r="R353" s="32">
        <f>1000000/(R352/10*4)</f>
        <v>2500</v>
      </c>
      <c r="S353" s="30" t="s">
        <v>39</v>
      </c>
      <c r="T353" s="6">
        <f t="shared" ref="T353:Y353" si="249">T$351*T354</f>
        <v>1692000</v>
      </c>
      <c r="U353" s="6">
        <f t="shared" si="249"/>
        <v>1972800</v>
      </c>
      <c r="V353" s="6">
        <f t="shared" si="249"/>
        <v>1986000</v>
      </c>
      <c r="W353" s="6">
        <f t="shared" si="249"/>
        <v>1965600</v>
      </c>
      <c r="X353" s="6">
        <f t="shared" si="249"/>
        <v>1980000</v>
      </c>
      <c r="Y353" s="6">
        <f t="shared" si="249"/>
        <v>1922400</v>
      </c>
    </row>
    <row r="354" spans="1:26" hidden="1">
      <c r="A354"/>
      <c r="C354"/>
      <c r="D354"/>
      <c r="E354"/>
      <c r="M354"/>
      <c r="N354"/>
      <c r="P354"/>
      <c r="R354" s="32">
        <f>1500/7300*R352</f>
        <v>205.47945205479451</v>
      </c>
      <c r="S354" s="30" t="s">
        <v>40</v>
      </c>
      <c r="T354" s="37">
        <v>940</v>
      </c>
      <c r="U354" s="37">
        <v>822</v>
      </c>
      <c r="V354" s="37">
        <v>662</v>
      </c>
      <c r="W354" s="37">
        <v>546</v>
      </c>
      <c r="X354" s="37">
        <v>440</v>
      </c>
      <c r="Y354" s="37">
        <v>356</v>
      </c>
      <c r="Z354" s="6">
        <v>600</v>
      </c>
    </row>
    <row r="355" spans="1:26" ht="15" hidden="1" thickBot="1">
      <c r="A355"/>
      <c r="C355"/>
      <c r="D355"/>
      <c r="E355"/>
      <c r="M355"/>
      <c r="N355"/>
      <c r="P355"/>
      <c r="R355" s="33"/>
      <c r="S355" s="30"/>
      <c r="T355" s="6">
        <f t="shared" ref="T355:Y355" si="250">$R353*($R354+$Z354)/(T$351+$Z355)</f>
        <v>982.29201470096893</v>
      </c>
      <c r="U355" s="6">
        <f t="shared" si="250"/>
        <v>759.88627552339108</v>
      </c>
      <c r="V355" s="6">
        <f t="shared" si="250"/>
        <v>619.59957850368812</v>
      </c>
      <c r="W355" s="6">
        <f t="shared" si="250"/>
        <v>523.038605230386</v>
      </c>
      <c r="X355" s="6">
        <f t="shared" si="250"/>
        <v>423.93655371304976</v>
      </c>
      <c r="Y355" s="6">
        <f t="shared" si="250"/>
        <v>356.40683719238694</v>
      </c>
      <c r="Z355" s="6">
        <v>250</v>
      </c>
    </row>
    <row r="356" spans="1:26" hidden="1">
      <c r="A356"/>
      <c r="C356"/>
      <c r="D356"/>
      <c r="E356"/>
      <c r="M356"/>
      <c r="N356"/>
      <c r="P356"/>
      <c r="T356" s="6">
        <f t="shared" ref="T356:Y356" si="251">$Z356/T$351</f>
        <v>1111.1111111111111</v>
      </c>
      <c r="U356" s="6">
        <f t="shared" si="251"/>
        <v>833.33333333333337</v>
      </c>
      <c r="V356" s="6">
        <f t="shared" si="251"/>
        <v>666.66666666666663</v>
      </c>
      <c r="W356" s="6">
        <f t="shared" si="251"/>
        <v>555.55555555555554</v>
      </c>
      <c r="X356" s="6">
        <f t="shared" si="251"/>
        <v>444.44444444444446</v>
      </c>
      <c r="Y356" s="6">
        <f t="shared" si="251"/>
        <v>370.37037037037038</v>
      </c>
      <c r="Z356" s="6">
        <v>2000000</v>
      </c>
    </row>
    <row r="357" spans="1:26" hidden="1">
      <c r="A357"/>
      <c r="C357"/>
      <c r="D357"/>
      <c r="E357"/>
      <c r="M357"/>
      <c r="N357"/>
      <c r="P357"/>
      <c r="R357" s="31">
        <v>1500</v>
      </c>
      <c r="S357" s="29" t="s">
        <v>38</v>
      </c>
      <c r="T357" s="36">
        <v>248</v>
      </c>
      <c r="U357" s="36">
        <v>178</v>
      </c>
      <c r="V357" s="36">
        <v>138</v>
      </c>
      <c r="W357" s="36">
        <v>114</v>
      </c>
      <c r="X357" s="36">
        <v>92</v>
      </c>
      <c r="Y357" s="36">
        <v>74</v>
      </c>
    </row>
    <row r="358" spans="1:26" hidden="1">
      <c r="A358"/>
      <c r="C358"/>
      <c r="D358"/>
      <c r="E358"/>
      <c r="M358"/>
      <c r="N358"/>
      <c r="P358"/>
      <c r="R358" s="32">
        <f>1000000/(R357/10*4)</f>
        <v>1666.6666666666667</v>
      </c>
      <c r="S358" s="30" t="s">
        <v>39</v>
      </c>
      <c r="T358" s="6">
        <f t="shared" ref="T358:Y358" si="252">T$351*T359</f>
        <v>1713600</v>
      </c>
      <c r="U358" s="6">
        <f t="shared" si="252"/>
        <v>2078400</v>
      </c>
      <c r="V358" s="6">
        <f t="shared" si="252"/>
        <v>2100000</v>
      </c>
      <c r="W358" s="6">
        <f t="shared" si="252"/>
        <v>2116800</v>
      </c>
      <c r="X358" s="6">
        <f t="shared" si="252"/>
        <v>2079000</v>
      </c>
      <c r="Y358" s="6">
        <f t="shared" si="252"/>
        <v>2073600</v>
      </c>
    </row>
    <row r="359" spans="1:26" hidden="1">
      <c r="A359"/>
      <c r="C359"/>
      <c r="D359"/>
      <c r="E359"/>
      <c r="M359"/>
      <c r="N359"/>
      <c r="P359"/>
      <c r="R359" s="32">
        <f>1500/7300*R357</f>
        <v>308.21917808219177</v>
      </c>
      <c r="S359" s="30" t="s">
        <v>40</v>
      </c>
      <c r="T359" s="37">
        <v>952</v>
      </c>
      <c r="U359" s="37">
        <v>866</v>
      </c>
      <c r="V359" s="37">
        <v>700</v>
      </c>
      <c r="W359" s="37">
        <v>588</v>
      </c>
      <c r="X359" s="37">
        <v>462</v>
      </c>
      <c r="Y359" s="37">
        <v>384</v>
      </c>
      <c r="Z359" s="6">
        <v>800</v>
      </c>
    </row>
    <row r="360" spans="1:26" ht="15" hidden="1" thickBot="1">
      <c r="A360"/>
      <c r="C360"/>
      <c r="D360"/>
      <c r="E360"/>
      <c r="M360"/>
      <c r="N360"/>
      <c r="P360"/>
      <c r="R360" s="33"/>
      <c r="S360" s="30"/>
      <c r="T360" s="6">
        <f t="shared" ref="T360:Y360" si="253">$R358*($R359+$Z359)/(T$351+$Z360)</f>
        <v>900.9912016928389</v>
      </c>
      <c r="U360" s="6">
        <f t="shared" si="253"/>
        <v>696.99319376238486</v>
      </c>
      <c r="V360" s="6">
        <f t="shared" si="253"/>
        <v>568.31752722163685</v>
      </c>
      <c r="W360" s="6">
        <f t="shared" si="253"/>
        <v>479.74856194034277</v>
      </c>
      <c r="X360" s="6">
        <f t="shared" si="253"/>
        <v>388.84883441480417</v>
      </c>
      <c r="Y360" s="6">
        <f t="shared" si="253"/>
        <v>326.90831211864065</v>
      </c>
      <c r="Z360" s="6">
        <v>250</v>
      </c>
    </row>
    <row r="361" spans="1:26" hidden="1">
      <c r="A361"/>
      <c r="C361"/>
      <c r="D361"/>
      <c r="E361"/>
      <c r="M361"/>
      <c r="N361"/>
      <c r="P361"/>
      <c r="T361" s="6">
        <f t="shared" ref="T361:Y361" si="254">$Z361/T$351</f>
        <v>1111.1111111111111</v>
      </c>
      <c r="U361" s="6">
        <f t="shared" si="254"/>
        <v>833.33333333333337</v>
      </c>
      <c r="V361" s="6">
        <f t="shared" si="254"/>
        <v>666.66666666666663</v>
      </c>
      <c r="W361" s="6">
        <f t="shared" si="254"/>
        <v>555.55555555555554</v>
      </c>
      <c r="X361" s="6">
        <f t="shared" si="254"/>
        <v>444.44444444444446</v>
      </c>
      <c r="Y361" s="6">
        <f t="shared" si="254"/>
        <v>370.37037037037038</v>
      </c>
      <c r="Z361" s="6">
        <v>2000000</v>
      </c>
    </row>
    <row r="362" spans="1:26" hidden="1">
      <c r="A362"/>
      <c r="C362"/>
      <c r="D362"/>
      <c r="E362"/>
      <c r="M362"/>
      <c r="N362"/>
      <c r="P362"/>
      <c r="R362" s="31">
        <v>2000</v>
      </c>
      <c r="S362" s="29" t="s">
        <v>38</v>
      </c>
      <c r="T362" s="36">
        <v>242</v>
      </c>
      <c r="U362" s="36">
        <v>170</v>
      </c>
      <c r="V362" s="36">
        <v>128</v>
      </c>
      <c r="W362" s="36">
        <v>106</v>
      </c>
      <c r="X362" s="36">
        <v>82</v>
      </c>
      <c r="Y362" s="36">
        <v>68</v>
      </c>
    </row>
    <row r="363" spans="1:26" hidden="1">
      <c r="A363"/>
      <c r="C363"/>
      <c r="D363"/>
      <c r="E363"/>
      <c r="M363"/>
      <c r="N363"/>
      <c r="P363"/>
      <c r="R363" s="32">
        <f>1000000/(R362/10*4)</f>
        <v>1250</v>
      </c>
      <c r="S363" s="30" t="s">
        <v>39</v>
      </c>
      <c r="T363" s="6">
        <f t="shared" ref="T363:Y363" si="255">T$351*T364</f>
        <v>1310400</v>
      </c>
      <c r="U363" s="6">
        <f t="shared" si="255"/>
        <v>1492800</v>
      </c>
      <c r="V363" s="6">
        <f t="shared" si="255"/>
        <v>1608000</v>
      </c>
      <c r="W363" s="6">
        <f t="shared" si="255"/>
        <v>1735200</v>
      </c>
      <c r="X363" s="6">
        <f t="shared" si="255"/>
        <v>1881000</v>
      </c>
      <c r="Y363" s="6">
        <f t="shared" si="255"/>
        <v>1922400</v>
      </c>
    </row>
    <row r="364" spans="1:26" hidden="1">
      <c r="A364"/>
      <c r="C364"/>
      <c r="D364"/>
      <c r="E364"/>
      <c r="M364"/>
      <c r="N364"/>
      <c r="P364"/>
      <c r="R364" s="32">
        <f>1500/7300*R362</f>
        <v>410.95890410958901</v>
      </c>
      <c r="S364" s="30" t="s">
        <v>40</v>
      </c>
      <c r="T364" s="37">
        <v>728</v>
      </c>
      <c r="U364" s="37">
        <v>622</v>
      </c>
      <c r="V364" s="37">
        <v>536</v>
      </c>
      <c r="W364" s="37">
        <v>482</v>
      </c>
      <c r="X364" s="37">
        <v>418</v>
      </c>
      <c r="Y364" s="37">
        <v>356</v>
      </c>
      <c r="Z364" s="6">
        <v>800</v>
      </c>
    </row>
    <row r="365" spans="1:26" ht="15" hidden="1" thickBot="1">
      <c r="A365"/>
      <c r="C365"/>
      <c r="D365"/>
      <c r="E365"/>
      <c r="M365"/>
      <c r="N365"/>
      <c r="P365"/>
      <c r="R365" s="33"/>
      <c r="S365" s="30"/>
      <c r="T365" s="6">
        <f t="shared" ref="T365:Y365" si="256">$R363*($R364+$Z364)/(T$351+$Z365)</f>
        <v>756.84931506849318</v>
      </c>
      <c r="U365" s="6">
        <f t="shared" si="256"/>
        <v>582.19178082191775</v>
      </c>
      <c r="V365" s="6">
        <f t="shared" si="256"/>
        <v>473.03082191780823</v>
      </c>
      <c r="W365" s="6">
        <f t="shared" si="256"/>
        <v>398.3417447728911</v>
      </c>
      <c r="X365" s="6">
        <f t="shared" si="256"/>
        <v>322.06353832701836</v>
      </c>
      <c r="Y365" s="6">
        <f t="shared" si="256"/>
        <v>270.30332681017615</v>
      </c>
      <c r="Z365" s="6">
        <v>200</v>
      </c>
    </row>
    <row r="366" spans="1:26" hidden="1">
      <c r="A366"/>
      <c r="C366"/>
      <c r="D366"/>
      <c r="E366"/>
      <c r="M366"/>
      <c r="N366"/>
      <c r="P366"/>
      <c r="T366" s="6">
        <f t="shared" ref="T366:Y366" si="257">$Z366/T$351</f>
        <v>833.33333333333337</v>
      </c>
      <c r="U366" s="6">
        <f t="shared" si="257"/>
        <v>625</v>
      </c>
      <c r="V366" s="6">
        <f t="shared" si="257"/>
        <v>500</v>
      </c>
      <c r="W366" s="6">
        <f t="shared" si="257"/>
        <v>416.66666666666669</v>
      </c>
      <c r="X366" s="6">
        <f t="shared" si="257"/>
        <v>333.33333333333331</v>
      </c>
      <c r="Y366" s="6">
        <f t="shared" si="257"/>
        <v>277.77777777777777</v>
      </c>
      <c r="Z366" s="6">
        <v>1500000</v>
      </c>
    </row>
    <row r="367" spans="1:26" hidden="1">
      <c r="A367"/>
      <c r="C367"/>
      <c r="D367"/>
      <c r="E367"/>
      <c r="M367"/>
      <c r="N367"/>
      <c r="P367"/>
      <c r="R367" s="31">
        <v>2500</v>
      </c>
      <c r="S367" s="29" t="s">
        <v>38</v>
      </c>
      <c r="T367" s="36">
        <v>234</v>
      </c>
      <c r="U367" s="36">
        <v>166</v>
      </c>
      <c r="V367" s="36">
        <v>124</v>
      </c>
      <c r="W367" s="36">
        <v>102</v>
      </c>
      <c r="X367" s="36">
        <v>78</v>
      </c>
      <c r="Y367" s="36">
        <v>64</v>
      </c>
    </row>
    <row r="368" spans="1:26" hidden="1">
      <c r="A368"/>
      <c r="C368"/>
      <c r="D368"/>
      <c r="E368"/>
      <c r="M368"/>
      <c r="N368"/>
      <c r="P368"/>
      <c r="R368" s="32">
        <f>1000000/(R367/10*4)</f>
        <v>1000</v>
      </c>
      <c r="S368" s="30" t="s">
        <v>39</v>
      </c>
      <c r="T368" s="6">
        <f t="shared" ref="T368:Y368" si="258">T$351*T369</f>
        <v>1504800</v>
      </c>
      <c r="U368" s="6">
        <f t="shared" si="258"/>
        <v>1156800</v>
      </c>
      <c r="V368" s="6">
        <f t="shared" si="258"/>
        <v>1248000</v>
      </c>
      <c r="W368" s="6">
        <f t="shared" si="258"/>
        <v>1382400</v>
      </c>
      <c r="X368" s="6">
        <f t="shared" si="258"/>
        <v>1449000</v>
      </c>
      <c r="Y368" s="6">
        <f t="shared" si="258"/>
        <v>1468800</v>
      </c>
    </row>
    <row r="369" spans="1:26" hidden="1">
      <c r="A369"/>
      <c r="C369"/>
      <c r="D369"/>
      <c r="E369"/>
      <c r="M369"/>
      <c r="N369"/>
      <c r="P369"/>
      <c r="R369" s="32">
        <f>1500/7300*R367</f>
        <v>513.69863013698625</v>
      </c>
      <c r="S369" s="30" t="s">
        <v>40</v>
      </c>
      <c r="T369" s="37">
        <v>836</v>
      </c>
      <c r="U369" s="37">
        <v>482</v>
      </c>
      <c r="V369" s="37">
        <v>416</v>
      </c>
      <c r="W369" s="37">
        <v>384</v>
      </c>
      <c r="X369" s="37">
        <v>322</v>
      </c>
      <c r="Y369" s="37">
        <v>272</v>
      </c>
      <c r="Z369" s="6">
        <v>800</v>
      </c>
    </row>
    <row r="370" spans="1:26" ht="15" hidden="1" thickBot="1">
      <c r="A370"/>
      <c r="C370"/>
      <c r="D370"/>
      <c r="E370"/>
      <c r="M370"/>
      <c r="N370"/>
      <c r="P370"/>
      <c r="R370" s="33"/>
      <c r="S370" s="30"/>
      <c r="T370" s="6">
        <f t="shared" ref="T370:Y370" si="259">$R368*($R369+$Z369)/(T$351+$Z370)</f>
        <v>656.84931506849307</v>
      </c>
      <c r="U370" s="6">
        <f t="shared" si="259"/>
        <v>505.26870389884078</v>
      </c>
      <c r="V370" s="6">
        <f t="shared" si="259"/>
        <v>410.53082191780811</v>
      </c>
      <c r="W370" s="6">
        <f t="shared" si="259"/>
        <v>345.71016582552267</v>
      </c>
      <c r="X370" s="6">
        <f t="shared" si="259"/>
        <v>279.51034683765658</v>
      </c>
      <c r="Y370" s="6">
        <f t="shared" si="259"/>
        <v>234.58904109589037</v>
      </c>
      <c r="Z370" s="6">
        <v>200</v>
      </c>
    </row>
    <row r="371" spans="1:26" hidden="1">
      <c r="A371"/>
      <c r="C371"/>
      <c r="D371"/>
      <c r="E371"/>
      <c r="M371"/>
      <c r="N371"/>
      <c r="P371"/>
      <c r="T371" s="6">
        <f t="shared" ref="T371:Y371" si="260">$Z371/T$351</f>
        <v>666.66666666666663</v>
      </c>
      <c r="U371" s="6">
        <f t="shared" si="260"/>
        <v>500</v>
      </c>
      <c r="V371" s="6">
        <f t="shared" si="260"/>
        <v>400</v>
      </c>
      <c r="W371" s="6">
        <f t="shared" si="260"/>
        <v>333.33333333333331</v>
      </c>
      <c r="X371" s="6">
        <f t="shared" si="260"/>
        <v>266.66666666666669</v>
      </c>
      <c r="Y371" s="6">
        <f t="shared" si="260"/>
        <v>222.22222222222223</v>
      </c>
      <c r="Z371" s="6">
        <v>1200000</v>
      </c>
    </row>
    <row r="372" spans="1:26" hidden="1">
      <c r="A372"/>
      <c r="C372"/>
      <c r="D372"/>
      <c r="E372"/>
      <c r="M372"/>
      <c r="N372"/>
      <c r="P372"/>
    </row>
    <row r="373" spans="1:26" hidden="1">
      <c r="A373"/>
      <c r="C373"/>
      <c r="D373"/>
      <c r="E373"/>
      <c r="M373"/>
      <c r="N373"/>
      <c r="P373"/>
      <c r="R373" t="s">
        <v>33</v>
      </c>
      <c r="T373" s="6" t="s">
        <v>34</v>
      </c>
    </row>
    <row r="374" spans="1:26" hidden="1">
      <c r="A374"/>
      <c r="C374"/>
      <c r="D374"/>
      <c r="E374"/>
      <c r="M374"/>
      <c r="N374"/>
      <c r="P374"/>
      <c r="T374" s="6">
        <v>1800</v>
      </c>
      <c r="U374" s="6">
        <v>2400</v>
      </c>
      <c r="W374" s="6">
        <v>3600</v>
      </c>
      <c r="Y374" s="6">
        <v>5400</v>
      </c>
    </row>
    <row r="375" spans="1:26" hidden="1">
      <c r="A375"/>
      <c r="C375"/>
      <c r="D375"/>
      <c r="E375"/>
      <c r="M375"/>
      <c r="N375"/>
      <c r="P375"/>
      <c r="R375" s="34">
        <v>1500</v>
      </c>
      <c r="S375" s="29" t="s">
        <v>38</v>
      </c>
    </row>
    <row r="376" spans="1:26" hidden="1">
      <c r="A376"/>
      <c r="C376"/>
      <c r="D376"/>
      <c r="E376"/>
      <c r="M376"/>
      <c r="N376"/>
      <c r="P376"/>
      <c r="R376" s="35">
        <f>1000000/(R375/10*3)</f>
        <v>2222.2222222222222</v>
      </c>
      <c r="S376" s="30" t="s">
        <v>39</v>
      </c>
      <c r="T376" s="6">
        <f>T$374*T377</f>
        <v>993600</v>
      </c>
      <c r="U376" s="6">
        <f>U$374*U377</f>
        <v>1104000</v>
      </c>
      <c r="W376" s="6">
        <f>W$374*W377</f>
        <v>1152000</v>
      </c>
      <c r="Y376" s="6">
        <f>Y$374*Y377</f>
        <v>1166400</v>
      </c>
    </row>
    <row r="377" spans="1:26" hidden="1">
      <c r="A377"/>
      <c r="C377"/>
      <c r="D377"/>
      <c r="E377"/>
      <c r="M377"/>
      <c r="N377"/>
      <c r="P377"/>
      <c r="R377" s="35">
        <f>1500/11000*R375</f>
        <v>204.54545454545453</v>
      </c>
      <c r="S377" s="30" t="s">
        <v>40</v>
      </c>
      <c r="T377" s="37">
        <v>552</v>
      </c>
      <c r="U377" s="37">
        <v>460</v>
      </c>
      <c r="V377" s="37"/>
      <c r="W377" s="37">
        <v>320</v>
      </c>
      <c r="X377" s="37"/>
      <c r="Y377" s="37">
        <v>216</v>
      </c>
      <c r="Z377" s="6">
        <v>370</v>
      </c>
    </row>
    <row r="378" spans="1:26" hidden="1">
      <c r="A378"/>
      <c r="C378"/>
      <c r="D378"/>
      <c r="E378"/>
      <c r="M378"/>
      <c r="N378"/>
      <c r="P378"/>
      <c r="R378" s="34"/>
      <c r="T378" s="6">
        <f>$R376*($R377+$Z377)/(T$351+$Z378)</f>
        <v>555.11638120333771</v>
      </c>
      <c r="U378" s="6">
        <f>$R376*($R377+$Z377)/(U$351+$Z378)</f>
        <v>440.26471612678506</v>
      </c>
      <c r="W378" s="6">
        <f>$R376*($R377+$Z377)/(W$351+$Z378)</f>
        <v>311.40675043114061</v>
      </c>
      <c r="Y378" s="6">
        <f>$R376*($R377+$Z377)/(Y$351+$Z378)</f>
        <v>216.40130114706383</v>
      </c>
      <c r="Z378" s="6">
        <v>500</v>
      </c>
    </row>
    <row r="379" spans="1:26" hidden="1">
      <c r="A379"/>
      <c r="C379"/>
      <c r="D379"/>
      <c r="E379"/>
      <c r="M379"/>
      <c r="N379"/>
      <c r="P379"/>
      <c r="T379" s="6">
        <f>$Z379/T$374</f>
        <v>611.11111111111109</v>
      </c>
      <c r="U379" s="6">
        <f>$Z379/U$374</f>
        <v>458.33333333333331</v>
      </c>
      <c r="W379" s="6">
        <f>$Z379/W$374</f>
        <v>305.55555555555554</v>
      </c>
      <c r="Y379" s="6">
        <f>$Z379/Y$374</f>
        <v>203.7037037037037</v>
      </c>
      <c r="Z379" s="6">
        <v>1100000</v>
      </c>
    </row>
    <row r="380" spans="1:26" hidden="1">
      <c r="A380"/>
      <c r="C380"/>
      <c r="D380"/>
      <c r="E380"/>
      <c r="M380"/>
      <c r="N380"/>
      <c r="P380"/>
      <c r="R380" s="34">
        <v>2000</v>
      </c>
      <c r="S380" s="29" t="s">
        <v>38</v>
      </c>
    </row>
    <row r="381" spans="1:26" hidden="1">
      <c r="A381"/>
      <c r="C381"/>
      <c r="D381"/>
      <c r="E381"/>
      <c r="M381"/>
      <c r="N381"/>
      <c r="P381"/>
      <c r="R381" s="35">
        <f>1000000/(R380/10*3)</f>
        <v>1666.6666666666667</v>
      </c>
      <c r="S381" s="30" t="s">
        <v>39</v>
      </c>
      <c r="T381" s="6">
        <f>T$374*T382</f>
        <v>993600</v>
      </c>
      <c r="U381" s="6">
        <f>U$374*U382</f>
        <v>1142400</v>
      </c>
      <c r="W381" s="6">
        <f>W$374*W382</f>
        <v>1137600</v>
      </c>
      <c r="Y381" s="6">
        <f>Y$374*Y382</f>
        <v>1166400</v>
      </c>
    </row>
    <row r="382" spans="1:26" hidden="1">
      <c r="A382"/>
      <c r="C382"/>
      <c r="D382"/>
      <c r="E382"/>
      <c r="M382"/>
      <c r="N382"/>
      <c r="P382"/>
      <c r="R382" s="35">
        <f>1500/11000*R380</f>
        <v>272.72727272727269</v>
      </c>
      <c r="S382" s="30" t="s">
        <v>40</v>
      </c>
      <c r="T382" s="37">
        <v>552</v>
      </c>
      <c r="U382" s="37">
        <v>476</v>
      </c>
      <c r="V382" s="37"/>
      <c r="W382" s="37">
        <v>316</v>
      </c>
      <c r="X382" s="37"/>
      <c r="Y382" s="37">
        <v>216</v>
      </c>
      <c r="Z382" s="6">
        <v>490</v>
      </c>
    </row>
    <row r="383" spans="1:26" hidden="1">
      <c r="A383"/>
      <c r="C383"/>
      <c r="D383"/>
      <c r="E383"/>
      <c r="M383"/>
      <c r="N383"/>
      <c r="P383"/>
      <c r="R383" s="34"/>
      <c r="T383" s="6">
        <f>$R381*($R382+$Z382)/(T$351+$Z383)</f>
        <v>552.70092226613974</v>
      </c>
      <c r="U383" s="6">
        <f>$R381*($R382+$Z382)/(U$351+$Z383)</f>
        <v>438.34900731452461</v>
      </c>
      <c r="W383" s="6">
        <f>$R381*($R382+$Z382)/(W$351+$Z383)</f>
        <v>310.05173688100518</v>
      </c>
      <c r="Y383" s="6">
        <f>$R381*($R382+$Z382)/(Y$351+$Z383)</f>
        <v>215.4596815613765</v>
      </c>
      <c r="Z383" s="6">
        <v>500</v>
      </c>
    </row>
    <row r="384" spans="1:26" hidden="1">
      <c r="A384"/>
      <c r="C384"/>
      <c r="D384"/>
      <c r="E384"/>
      <c r="M384"/>
      <c r="N384"/>
      <c r="P384"/>
      <c r="T384" s="6">
        <f>$Z384/T$374</f>
        <v>611.11111111111109</v>
      </c>
      <c r="U384" s="6">
        <f>$Z384/U$374</f>
        <v>458.33333333333331</v>
      </c>
      <c r="W384" s="6">
        <f>$Z384/W$374</f>
        <v>305.55555555555554</v>
      </c>
      <c r="Y384" s="6">
        <f>$Z384/Y$374</f>
        <v>203.7037037037037</v>
      </c>
      <c r="Z384" s="6">
        <v>1100000</v>
      </c>
    </row>
    <row r="385" spans="1:26" hidden="1">
      <c r="A385"/>
      <c r="C385"/>
      <c r="D385"/>
      <c r="E385"/>
      <c r="M385"/>
      <c r="N385"/>
      <c r="P385"/>
      <c r="R385" s="34">
        <v>2500</v>
      </c>
      <c r="S385" s="29" t="s">
        <v>38</v>
      </c>
    </row>
    <row r="386" spans="1:26" hidden="1">
      <c r="A386"/>
      <c r="C386"/>
      <c r="D386"/>
      <c r="E386"/>
      <c r="M386"/>
      <c r="N386"/>
      <c r="P386"/>
      <c r="R386" s="35">
        <f>1000000/(R385/10*3)</f>
        <v>1333.3333333333333</v>
      </c>
      <c r="S386" s="30" t="s">
        <v>39</v>
      </c>
      <c r="T386" s="6">
        <f>T$374*T387</f>
        <v>993600</v>
      </c>
      <c r="U386" s="6">
        <f>U$374*U387</f>
        <v>1156800</v>
      </c>
      <c r="W386" s="6">
        <f>W$374*W387</f>
        <v>1159200</v>
      </c>
      <c r="Y386" s="6">
        <f>Y$374*Y387</f>
        <v>1166400</v>
      </c>
    </row>
    <row r="387" spans="1:26" hidden="1">
      <c r="A387"/>
      <c r="C387"/>
      <c r="D387"/>
      <c r="E387"/>
      <c r="M387"/>
      <c r="N387"/>
      <c r="P387"/>
      <c r="R387" s="35">
        <f>1500/11000*R385</f>
        <v>340.90909090909088</v>
      </c>
      <c r="S387" s="30" t="s">
        <v>40</v>
      </c>
      <c r="T387" s="37">
        <v>552</v>
      </c>
      <c r="U387" s="37">
        <v>482</v>
      </c>
      <c r="V387" s="37"/>
      <c r="W387" s="37">
        <v>322</v>
      </c>
      <c r="X387" s="37"/>
      <c r="Y387" s="37">
        <v>216</v>
      </c>
      <c r="Z387" s="6">
        <v>610</v>
      </c>
    </row>
    <row r="388" spans="1:26" hidden="1">
      <c r="A388"/>
      <c r="C388"/>
      <c r="D388"/>
      <c r="E388"/>
      <c r="M388"/>
      <c r="N388"/>
      <c r="P388"/>
      <c r="R388" s="34"/>
      <c r="T388" s="6">
        <f>$R386*($R387+$Z387)/(T$351+$Z388)</f>
        <v>551.25164690382076</v>
      </c>
      <c r="U388" s="6">
        <f>$R386*($R387+$Z387)/(U$351+$Z388)</f>
        <v>437.19958202716822</v>
      </c>
      <c r="W388" s="6">
        <f>$R386*($R387+$Z387)/(W$351+$Z388)</f>
        <v>309.23872875092388</v>
      </c>
      <c r="Y388" s="6">
        <f>$R386*($R387+$Z387)/(Y$351+$Z388)</f>
        <v>214.89470980996404</v>
      </c>
      <c r="Z388" s="6">
        <v>500</v>
      </c>
    </row>
    <row r="389" spans="1:26" hidden="1">
      <c r="A389"/>
      <c r="C389"/>
      <c r="D389"/>
      <c r="E389"/>
      <c r="M389"/>
      <c r="N389"/>
      <c r="P389"/>
      <c r="T389" s="6">
        <f>$Z389/T$374</f>
        <v>611.11111111111109</v>
      </c>
      <c r="U389" s="6">
        <f>$Z389/U$374</f>
        <v>458.33333333333331</v>
      </c>
      <c r="W389" s="6">
        <f>$Z389/W$374</f>
        <v>305.55555555555554</v>
      </c>
      <c r="Y389" s="6">
        <f>$Z389/Y$374</f>
        <v>203.7037037037037</v>
      </c>
      <c r="Z389" s="6">
        <v>1100000</v>
      </c>
    </row>
    <row r="390" spans="1:26" hidden="1">
      <c r="A390"/>
      <c r="C390"/>
      <c r="D390"/>
      <c r="E390"/>
      <c r="M390"/>
      <c r="N390"/>
      <c r="P390"/>
    </row>
    <row r="391" spans="1:26" hidden="1">
      <c r="A391"/>
      <c r="C391"/>
      <c r="D391"/>
      <c r="E391"/>
      <c r="M391"/>
      <c r="N391"/>
      <c r="P391"/>
      <c r="R391" t="s">
        <v>33</v>
      </c>
      <c r="T391" s="6" t="s">
        <v>35</v>
      </c>
    </row>
    <row r="392" spans="1:26" hidden="1">
      <c r="A392"/>
      <c r="C392"/>
      <c r="D392"/>
      <c r="E392"/>
      <c r="M392"/>
      <c r="N392"/>
      <c r="P392"/>
      <c r="T392" s="6">
        <v>1800</v>
      </c>
      <c r="U392" s="6">
        <v>2400</v>
      </c>
      <c r="W392" s="6">
        <v>3600</v>
      </c>
      <c r="Y392" s="6">
        <v>5400</v>
      </c>
    </row>
    <row r="393" spans="1:26" hidden="1">
      <c r="A393"/>
      <c r="C393"/>
      <c r="D393"/>
      <c r="E393"/>
      <c r="M393"/>
      <c r="N393"/>
      <c r="P393"/>
      <c r="R393" s="34">
        <v>1500</v>
      </c>
      <c r="S393" s="29" t="s">
        <v>38</v>
      </c>
    </row>
    <row r="394" spans="1:26" hidden="1">
      <c r="A394"/>
      <c r="C394"/>
      <c r="D394"/>
      <c r="E394"/>
      <c r="M394"/>
      <c r="N394"/>
      <c r="P394"/>
      <c r="R394" s="35">
        <f>1000000/(R393/10*4)</f>
        <v>1666.6666666666667</v>
      </c>
      <c r="S394" s="30" t="s">
        <v>39</v>
      </c>
      <c r="T394" s="6">
        <f>T$392*T395</f>
        <v>961200</v>
      </c>
      <c r="U394" s="6">
        <f>U$392*U395</f>
        <v>1094400</v>
      </c>
      <c r="W394" s="6">
        <f>W$392*W395</f>
        <v>1144800</v>
      </c>
      <c r="Y394" s="6">
        <f>Y$392*Y395</f>
        <v>1134000</v>
      </c>
    </row>
    <row r="395" spans="1:26" hidden="1">
      <c r="A395"/>
      <c r="C395"/>
      <c r="D395"/>
      <c r="E395"/>
      <c r="M395"/>
      <c r="N395"/>
      <c r="P395"/>
      <c r="R395" s="35">
        <f>1500/11000*R393</f>
        <v>204.54545454545453</v>
      </c>
      <c r="S395" s="30" t="s">
        <v>40</v>
      </c>
      <c r="T395" s="37">
        <v>534</v>
      </c>
      <c r="U395" s="37">
        <v>456</v>
      </c>
      <c r="V395" s="37"/>
      <c r="W395" s="37">
        <v>318</v>
      </c>
      <c r="X395" s="37"/>
      <c r="Y395" s="37">
        <v>210</v>
      </c>
      <c r="Z395" s="6">
        <v>530</v>
      </c>
    </row>
    <row r="396" spans="1:26" hidden="1">
      <c r="A396"/>
      <c r="C396"/>
      <c r="D396"/>
      <c r="E396"/>
      <c r="M396"/>
      <c r="N396"/>
      <c r="P396"/>
      <c r="R396" s="34"/>
      <c r="T396" s="6">
        <f>$R394*($R395+$Z395)/(T$351+$Z396)</f>
        <v>532.27931488801062</v>
      </c>
      <c r="U396" s="6">
        <f>$R394*($R395+$Z395)/(U$351+$Z396)</f>
        <v>422.15256008359461</v>
      </c>
      <c r="W396" s="6">
        <f>$R394*($R395+$Z395)/(W$351+$Z396)</f>
        <v>298.5957132298596</v>
      </c>
      <c r="Y396" s="6">
        <f>$R394*($R395+$Z395)/(Y$351+$Z396)</f>
        <v>207.49871597329226</v>
      </c>
      <c r="Z396" s="6">
        <v>500</v>
      </c>
    </row>
    <row r="397" spans="1:26" hidden="1">
      <c r="A397"/>
      <c r="C397"/>
      <c r="D397"/>
      <c r="E397"/>
      <c r="M397"/>
      <c r="N397"/>
      <c r="P397"/>
      <c r="T397" s="6">
        <f>$Z397/T$392</f>
        <v>611.11111111111109</v>
      </c>
      <c r="U397" s="6">
        <f>$Z397/U$392</f>
        <v>458.33333333333331</v>
      </c>
      <c r="W397" s="6">
        <f>$Z397/W$392</f>
        <v>305.55555555555554</v>
      </c>
      <c r="Y397" s="6">
        <f>$Z397/Y$392</f>
        <v>203.7037037037037</v>
      </c>
      <c r="Z397" s="6">
        <v>1100000</v>
      </c>
    </row>
    <row r="398" spans="1:26" hidden="1">
      <c r="A398"/>
      <c r="C398"/>
      <c r="D398"/>
      <c r="E398"/>
      <c r="M398"/>
      <c r="N398"/>
      <c r="P398"/>
      <c r="R398" s="34">
        <v>2000</v>
      </c>
      <c r="S398" s="29" t="s">
        <v>38</v>
      </c>
    </row>
    <row r="399" spans="1:26" hidden="1">
      <c r="A399"/>
      <c r="C399"/>
      <c r="D399"/>
      <c r="E399"/>
      <c r="M399"/>
      <c r="N399"/>
      <c r="P399"/>
      <c r="R399" s="35">
        <f>1000000/(R398/10*4)</f>
        <v>1250</v>
      </c>
      <c r="S399" s="30" t="s">
        <v>39</v>
      </c>
      <c r="T399" s="6">
        <f>T$392*T400</f>
        <v>972000</v>
      </c>
      <c r="U399" s="6">
        <f>U$392*U400</f>
        <v>1094400</v>
      </c>
      <c r="W399" s="6">
        <f>W$392*W400</f>
        <v>1144800</v>
      </c>
      <c r="Y399" s="6">
        <f>Y$392*Y400</f>
        <v>1134000</v>
      </c>
    </row>
    <row r="400" spans="1:26" hidden="1">
      <c r="A400"/>
      <c r="C400"/>
      <c r="D400"/>
      <c r="E400"/>
      <c r="M400"/>
      <c r="N400"/>
      <c r="P400"/>
      <c r="R400" s="35">
        <f>1500/11000*R398</f>
        <v>272.72727272727269</v>
      </c>
      <c r="S400" s="30" t="s">
        <v>40</v>
      </c>
      <c r="T400" s="37">
        <v>540</v>
      </c>
      <c r="U400" s="37">
        <v>456</v>
      </c>
      <c r="V400" s="37"/>
      <c r="W400" s="37">
        <v>318</v>
      </c>
      <c r="X400" s="37"/>
      <c r="Y400" s="37">
        <v>210</v>
      </c>
      <c r="Z400" s="6">
        <v>720</v>
      </c>
    </row>
    <row r="401" spans="1:26" hidden="1">
      <c r="A401"/>
      <c r="C401"/>
      <c r="D401"/>
      <c r="E401"/>
      <c r="M401"/>
      <c r="N401"/>
      <c r="P401"/>
      <c r="R401" s="34"/>
      <c r="T401" s="6">
        <f>$R399*($R400+$Z400)/(T$351+$Z401)</f>
        <v>539.52569169960475</v>
      </c>
      <c r="U401" s="6">
        <f>$R399*($R400+$Z400)/(U$351+$Z401)</f>
        <v>427.89968652037612</v>
      </c>
      <c r="W401" s="6">
        <f>$R399*($R400+$Z400)/(W$351+$Z401)</f>
        <v>302.66075388026604</v>
      </c>
      <c r="Y401" s="6">
        <f>$R399*($R400+$Z400)/(Y$351+$Z401)</f>
        <v>210.32357473035438</v>
      </c>
      <c r="Z401" s="6">
        <v>500</v>
      </c>
    </row>
    <row r="402" spans="1:26" hidden="1">
      <c r="A402"/>
      <c r="C402"/>
      <c r="D402"/>
      <c r="E402"/>
      <c r="M402"/>
      <c r="N402"/>
      <c r="P402"/>
      <c r="T402" s="6">
        <f>$Z402/T$392</f>
        <v>611.11111111111109</v>
      </c>
      <c r="U402" s="6">
        <f>$Z402/U$392</f>
        <v>458.33333333333331</v>
      </c>
      <c r="W402" s="6">
        <f>$Z402/W$392</f>
        <v>305.55555555555554</v>
      </c>
      <c r="Y402" s="6">
        <f>$Z402/Y$392</f>
        <v>203.7037037037037</v>
      </c>
      <c r="Z402" s="6">
        <v>1100000</v>
      </c>
    </row>
    <row r="403" spans="1:26" hidden="1">
      <c r="A403"/>
      <c r="C403"/>
      <c r="D403"/>
      <c r="E403"/>
      <c r="M403"/>
      <c r="N403"/>
      <c r="P403"/>
      <c r="R403" s="34">
        <v>2500</v>
      </c>
      <c r="S403" s="29" t="s">
        <v>38</v>
      </c>
    </row>
    <row r="404" spans="1:26" hidden="1">
      <c r="A404"/>
      <c r="C404"/>
      <c r="D404"/>
      <c r="E404"/>
      <c r="M404"/>
      <c r="N404"/>
      <c r="P404"/>
      <c r="R404" s="35">
        <f>1000000/(R403/10*4)</f>
        <v>1000</v>
      </c>
      <c r="S404" s="30" t="s">
        <v>39</v>
      </c>
      <c r="T404" s="6">
        <f>T$392*T405</f>
        <v>864000</v>
      </c>
      <c r="U404" s="6">
        <f>U$392*U405</f>
        <v>792000</v>
      </c>
      <c r="W404" s="6">
        <f>W$392*W405</f>
        <v>961200</v>
      </c>
      <c r="Y404" s="6">
        <f>Y$392*Y405</f>
        <v>1074600</v>
      </c>
    </row>
    <row r="405" spans="1:26" hidden="1">
      <c r="A405"/>
      <c r="C405"/>
      <c r="D405"/>
      <c r="E405"/>
      <c r="M405"/>
      <c r="N405"/>
      <c r="P405"/>
      <c r="R405" s="35">
        <f>1500/11000*R403</f>
        <v>340.90909090909088</v>
      </c>
      <c r="S405" s="30" t="s">
        <v>40</v>
      </c>
      <c r="T405" s="37">
        <v>480</v>
      </c>
      <c r="U405" s="37">
        <v>330</v>
      </c>
      <c r="V405" s="37"/>
      <c r="W405" s="37">
        <v>267</v>
      </c>
      <c r="X405" s="37"/>
      <c r="Y405" s="37">
        <v>199</v>
      </c>
      <c r="Z405" s="6">
        <v>650</v>
      </c>
    </row>
    <row r="406" spans="1:26" hidden="1">
      <c r="A406"/>
      <c r="C406"/>
      <c r="D406"/>
      <c r="E406"/>
      <c r="M406"/>
      <c r="N406"/>
      <c r="P406"/>
      <c r="R406" s="34"/>
      <c r="T406" s="6">
        <f>$R404*($R405+$Z405)/(T$351+$Z406)</f>
        <v>471.86147186147184</v>
      </c>
      <c r="U406" s="6">
        <f>$R404*($R405+$Z405)/(U$351+$Z406)</f>
        <v>367.00336700336698</v>
      </c>
      <c r="W406" s="6">
        <f>$R404*($R405+$Z405)/(W$351+$Z406)</f>
        <v>254.07925407925407</v>
      </c>
      <c r="Y406" s="6">
        <f>$R404*($R405+$Z405)/(Y$351+$Z406)</f>
        <v>173.84370015948963</v>
      </c>
      <c r="Z406" s="6">
        <v>300</v>
      </c>
    </row>
    <row r="407" spans="1:26" hidden="1">
      <c r="A407"/>
      <c r="C407"/>
      <c r="D407"/>
      <c r="E407"/>
      <c r="M407"/>
      <c r="N407"/>
      <c r="P407"/>
      <c r="T407" s="6">
        <f>$Z407/T$392</f>
        <v>444.44444444444446</v>
      </c>
      <c r="U407" s="6">
        <f>$Z407/U$392</f>
        <v>333.33333333333331</v>
      </c>
      <c r="W407" s="6">
        <f>$Z407/W$392</f>
        <v>222.22222222222223</v>
      </c>
      <c r="Y407" s="6">
        <f>$Z407/Y$392</f>
        <v>148.14814814814815</v>
      </c>
      <c r="Z407" s="6">
        <v>800000</v>
      </c>
    </row>
    <row r="408" spans="1:26" hidden="1">
      <c r="A408"/>
      <c r="C408"/>
      <c r="D408"/>
      <c r="E408"/>
      <c r="M408"/>
      <c r="N408"/>
      <c r="P408"/>
    </row>
  </sheetData>
  <mergeCells count="58">
    <mergeCell ref="A139:A145"/>
    <mergeCell ref="B139:B145"/>
    <mergeCell ref="A147:A153"/>
    <mergeCell ref="B147:B153"/>
    <mergeCell ref="A107:A113"/>
    <mergeCell ref="B107:B113"/>
    <mergeCell ref="A123:A129"/>
    <mergeCell ref="B123:B129"/>
    <mergeCell ref="A115:A121"/>
    <mergeCell ref="B115:B121"/>
    <mergeCell ref="A197:A202"/>
    <mergeCell ref="B197:B202"/>
    <mergeCell ref="A204:A210"/>
    <mergeCell ref="B204:B210"/>
    <mergeCell ref="B86:B89"/>
    <mergeCell ref="A86:A89"/>
    <mergeCell ref="A163:A167"/>
    <mergeCell ref="A175:A179"/>
    <mergeCell ref="B175:B179"/>
    <mergeCell ref="A91:A97"/>
    <mergeCell ref="B91:B97"/>
    <mergeCell ref="B169:B173"/>
    <mergeCell ref="A169:A173"/>
    <mergeCell ref="B163:B167"/>
    <mergeCell ref="A192:A195"/>
    <mergeCell ref="B192:B195"/>
    <mergeCell ref="B3:B6"/>
    <mergeCell ref="B33:B38"/>
    <mergeCell ref="A68:A75"/>
    <mergeCell ref="A3:A6"/>
    <mergeCell ref="A33:A38"/>
    <mergeCell ref="A14:A18"/>
    <mergeCell ref="A20:A24"/>
    <mergeCell ref="B68:B75"/>
    <mergeCell ref="B26:B31"/>
    <mergeCell ref="A26:A31"/>
    <mergeCell ref="B40:B48"/>
    <mergeCell ref="A40:A48"/>
    <mergeCell ref="B50:B57"/>
    <mergeCell ref="A50:A57"/>
    <mergeCell ref="A59:A66"/>
    <mergeCell ref="B59:B66"/>
    <mergeCell ref="A181:A190"/>
    <mergeCell ref="B181:B190"/>
    <mergeCell ref="B14:B18"/>
    <mergeCell ref="A8:A12"/>
    <mergeCell ref="B8:B12"/>
    <mergeCell ref="B20:B24"/>
    <mergeCell ref="B81:B84"/>
    <mergeCell ref="A81:A84"/>
    <mergeCell ref="A77:A79"/>
    <mergeCell ref="B77:B79"/>
    <mergeCell ref="A99:A105"/>
    <mergeCell ref="B99:B105"/>
    <mergeCell ref="A155:A161"/>
    <mergeCell ref="B155:B161"/>
    <mergeCell ref="A131:A137"/>
    <mergeCell ref="B131:B137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4B8B-320A-4D54-BEE2-A687AE917D79}">
  <dimension ref="B1:J78"/>
  <sheetViews>
    <sheetView tabSelected="1" workbookViewId="0">
      <selection activeCell="M28" sqref="M28"/>
    </sheetView>
  </sheetViews>
  <sheetFormatPr defaultRowHeight="14.4"/>
  <cols>
    <col min="2" max="2" width="17" bestFit="1" customWidth="1"/>
  </cols>
  <sheetData>
    <row r="1" spans="2:10" ht="15" thickBot="1"/>
    <row r="2" spans="2:10" ht="15" thickBot="1">
      <c r="B2" s="284"/>
      <c r="C2" s="225" t="s">
        <v>914</v>
      </c>
      <c r="D2" s="285" t="s">
        <v>908</v>
      </c>
      <c r="E2" s="284" t="s">
        <v>909</v>
      </c>
      <c r="F2" s="225" t="s">
        <v>910</v>
      </c>
      <c r="G2" s="225" t="s">
        <v>911</v>
      </c>
      <c r="H2" s="225" t="s">
        <v>912</v>
      </c>
      <c r="I2" s="225" t="s">
        <v>913</v>
      </c>
      <c r="J2" s="285" t="s">
        <v>170</v>
      </c>
    </row>
    <row r="3" spans="2:10">
      <c r="B3" s="284" t="s">
        <v>916</v>
      </c>
      <c r="C3" s="18"/>
      <c r="D3" s="278">
        <v>36</v>
      </c>
      <c r="E3" s="292">
        <v>36</v>
      </c>
      <c r="F3" s="18">
        <v>36</v>
      </c>
      <c r="G3" s="18">
        <v>36</v>
      </c>
      <c r="H3" s="18">
        <v>36</v>
      </c>
      <c r="I3" s="18">
        <v>36</v>
      </c>
      <c r="J3" s="278">
        <v>36</v>
      </c>
    </row>
    <row r="4" spans="2:10">
      <c r="B4" s="286"/>
      <c r="C4" s="9">
        <v>8</v>
      </c>
      <c r="D4" s="279">
        <v>14</v>
      </c>
      <c r="E4" s="293">
        <v>14</v>
      </c>
      <c r="F4" s="9">
        <v>14</v>
      </c>
      <c r="G4" s="9">
        <v>14</v>
      </c>
      <c r="H4" s="9">
        <v>14</v>
      </c>
      <c r="I4" s="9">
        <v>14</v>
      </c>
      <c r="J4" s="279"/>
    </row>
    <row r="5" spans="2:10" s="7" customFormat="1">
      <c r="B5" s="280" t="s">
        <v>907</v>
      </c>
      <c r="C5" s="10">
        <v>1</v>
      </c>
      <c r="D5" s="281">
        <f t="shared" ref="D5:J5" si="0">C5*D3/C4</f>
        <v>4.5</v>
      </c>
      <c r="E5" s="280">
        <f t="shared" si="0"/>
        <v>11.571428571428571</v>
      </c>
      <c r="F5" s="10">
        <f t="shared" si="0"/>
        <v>29.755102040816325</v>
      </c>
      <c r="G5" s="10">
        <f t="shared" si="0"/>
        <v>76.5131195335277</v>
      </c>
      <c r="H5" s="289">
        <f t="shared" si="0"/>
        <v>196.74802165764268</v>
      </c>
      <c r="I5" s="10">
        <f t="shared" si="0"/>
        <v>505.92348426250976</v>
      </c>
      <c r="J5" s="281">
        <f t="shared" si="0"/>
        <v>1300.9461023893109</v>
      </c>
    </row>
    <row r="6" spans="2:10" s="3" customFormat="1" ht="15" thickBot="1">
      <c r="B6" s="282" t="s">
        <v>915</v>
      </c>
      <c r="C6" s="25"/>
      <c r="D6" s="283">
        <f t="shared" ref="D6:J6" si="1">(D3+C4)/2*0.5</f>
        <v>11</v>
      </c>
      <c r="E6" s="282">
        <f t="shared" si="1"/>
        <v>12.5</v>
      </c>
      <c r="F6" s="25">
        <f t="shared" si="1"/>
        <v>12.5</v>
      </c>
      <c r="G6" s="25">
        <f t="shared" si="1"/>
        <v>12.5</v>
      </c>
      <c r="H6" s="25">
        <f t="shared" si="1"/>
        <v>12.5</v>
      </c>
      <c r="I6" s="25">
        <f t="shared" si="1"/>
        <v>12.5</v>
      </c>
      <c r="J6" s="283">
        <f t="shared" si="1"/>
        <v>12.5</v>
      </c>
    </row>
    <row r="7" spans="2:10">
      <c r="B7" s="284"/>
      <c r="C7" s="18"/>
      <c r="D7" s="278">
        <v>36</v>
      </c>
      <c r="E7" s="292">
        <v>36</v>
      </c>
      <c r="F7" s="18">
        <v>36</v>
      </c>
      <c r="G7" s="18">
        <v>36</v>
      </c>
      <c r="H7" s="18">
        <v>36</v>
      </c>
      <c r="I7" s="18">
        <v>36</v>
      </c>
      <c r="J7" s="278">
        <v>36</v>
      </c>
    </row>
    <row r="8" spans="2:10">
      <c r="B8" s="286"/>
      <c r="C8" s="288">
        <v>10</v>
      </c>
      <c r="D8" s="279">
        <v>14</v>
      </c>
      <c r="E8" s="293">
        <v>14</v>
      </c>
      <c r="F8" s="9">
        <v>14</v>
      </c>
      <c r="G8" s="9">
        <v>14</v>
      </c>
      <c r="H8" s="9">
        <v>14</v>
      </c>
      <c r="I8" s="9">
        <v>14</v>
      </c>
      <c r="J8" s="279"/>
    </row>
    <row r="9" spans="2:10">
      <c r="B9" s="280" t="s">
        <v>907</v>
      </c>
      <c r="C9" s="10">
        <v>1</v>
      </c>
      <c r="D9" s="281">
        <f t="shared" ref="D9:J9" si="2">C9*D7/C8</f>
        <v>3.6</v>
      </c>
      <c r="E9" s="280">
        <f t="shared" si="2"/>
        <v>9.2571428571428562</v>
      </c>
      <c r="F9" s="10">
        <f t="shared" si="2"/>
        <v>23.804081632653059</v>
      </c>
      <c r="G9" s="10">
        <f t="shared" si="2"/>
        <v>61.210495626822151</v>
      </c>
      <c r="H9" s="10">
        <f t="shared" si="2"/>
        <v>157.39841732611413</v>
      </c>
      <c r="I9" s="10">
        <f t="shared" si="2"/>
        <v>404.73878741000777</v>
      </c>
      <c r="J9" s="281">
        <f t="shared" si="2"/>
        <v>1040.7568819114485</v>
      </c>
    </row>
    <row r="10" spans="2:10" ht="15" thickBot="1">
      <c r="B10" s="282" t="s">
        <v>915</v>
      </c>
      <c r="C10" s="25"/>
      <c r="D10" s="295">
        <f t="shared" ref="D10:J10" si="3">(D7+C8)/2*0.5</f>
        <v>11.5</v>
      </c>
      <c r="E10" s="282">
        <f t="shared" si="3"/>
        <v>12.5</v>
      </c>
      <c r="F10" s="25">
        <f t="shared" si="3"/>
        <v>12.5</v>
      </c>
      <c r="G10" s="25">
        <f t="shared" si="3"/>
        <v>12.5</v>
      </c>
      <c r="H10" s="25">
        <f t="shared" si="3"/>
        <v>12.5</v>
      </c>
      <c r="I10" s="25">
        <f t="shared" si="3"/>
        <v>12.5</v>
      </c>
      <c r="J10" s="283">
        <f t="shared" si="3"/>
        <v>12.5</v>
      </c>
    </row>
    <row r="11" spans="2:10">
      <c r="B11" s="284"/>
      <c r="C11" s="18"/>
      <c r="D11" s="278">
        <v>36</v>
      </c>
      <c r="E11" s="292">
        <v>36</v>
      </c>
      <c r="F11" s="18">
        <v>36</v>
      </c>
      <c r="G11" s="18">
        <v>36</v>
      </c>
      <c r="H11" s="18">
        <v>36</v>
      </c>
      <c r="I11" s="18">
        <v>36</v>
      </c>
      <c r="J11" s="278">
        <v>36</v>
      </c>
    </row>
    <row r="12" spans="2:10">
      <c r="B12" s="286"/>
      <c r="C12" s="288">
        <v>12</v>
      </c>
      <c r="D12" s="279">
        <v>14</v>
      </c>
      <c r="E12" s="293">
        <v>14</v>
      </c>
      <c r="F12" s="9">
        <v>14</v>
      </c>
      <c r="G12" s="9">
        <v>14</v>
      </c>
      <c r="H12" s="9">
        <v>14</v>
      </c>
      <c r="I12" s="9">
        <v>14</v>
      </c>
      <c r="J12" s="279"/>
    </row>
    <row r="13" spans="2:10">
      <c r="B13" s="280" t="s">
        <v>907</v>
      </c>
      <c r="C13" s="10">
        <v>1</v>
      </c>
      <c r="D13" s="281">
        <f t="shared" ref="D13:J13" si="4">C13*D11/C12</f>
        <v>3</v>
      </c>
      <c r="E13" s="280">
        <f t="shared" si="4"/>
        <v>7.7142857142857144</v>
      </c>
      <c r="F13" s="10">
        <f t="shared" si="4"/>
        <v>19.836734693877553</v>
      </c>
      <c r="G13" s="10">
        <f t="shared" si="4"/>
        <v>51.00874635568514</v>
      </c>
      <c r="H13" s="10">
        <f t="shared" si="4"/>
        <v>131.16534777176179</v>
      </c>
      <c r="I13" s="10">
        <f t="shared" si="4"/>
        <v>337.28232284167319</v>
      </c>
      <c r="J13" s="281">
        <f t="shared" si="4"/>
        <v>867.29740159287394</v>
      </c>
    </row>
    <row r="14" spans="2:10" ht="15" thickBot="1">
      <c r="B14" s="282" t="s">
        <v>915</v>
      </c>
      <c r="C14" s="25"/>
      <c r="D14" s="295">
        <f t="shared" ref="D14:J14" si="5">(D11+C12)/2*0.5</f>
        <v>12</v>
      </c>
      <c r="E14" s="282">
        <f t="shared" si="5"/>
        <v>12.5</v>
      </c>
      <c r="F14" s="25">
        <f t="shared" si="5"/>
        <v>12.5</v>
      </c>
      <c r="G14" s="25">
        <f t="shared" si="5"/>
        <v>12.5</v>
      </c>
      <c r="H14" s="25">
        <f t="shared" si="5"/>
        <v>12.5</v>
      </c>
      <c r="I14" s="25">
        <f t="shared" si="5"/>
        <v>12.5</v>
      </c>
      <c r="J14" s="283">
        <f t="shared" si="5"/>
        <v>12.5</v>
      </c>
    </row>
    <row r="15" spans="2:10">
      <c r="B15" s="284"/>
      <c r="C15" s="18"/>
      <c r="D15" s="278">
        <v>36</v>
      </c>
      <c r="E15" s="292">
        <v>36</v>
      </c>
      <c r="F15" s="18">
        <v>36</v>
      </c>
      <c r="G15" s="18">
        <v>36</v>
      </c>
      <c r="H15" s="18">
        <v>36</v>
      </c>
      <c r="I15" s="18">
        <v>36</v>
      </c>
      <c r="J15" s="278">
        <v>36</v>
      </c>
    </row>
    <row r="16" spans="2:10">
      <c r="B16" s="286"/>
      <c r="C16" s="288">
        <v>14</v>
      </c>
      <c r="D16" s="279">
        <v>14</v>
      </c>
      <c r="E16" s="293">
        <v>14</v>
      </c>
      <c r="F16" s="9">
        <v>14</v>
      </c>
      <c r="G16" s="9">
        <v>14</v>
      </c>
      <c r="H16" s="9">
        <v>14</v>
      </c>
      <c r="I16" s="9">
        <v>14</v>
      </c>
      <c r="J16" s="279"/>
    </row>
    <row r="17" spans="2:10">
      <c r="B17" s="280" t="s">
        <v>907</v>
      </c>
      <c r="C17" s="10">
        <v>1</v>
      </c>
      <c r="D17" s="281">
        <f t="shared" ref="D17:J17" si="6">C17*D15/C16</f>
        <v>2.5714285714285716</v>
      </c>
      <c r="E17" s="280">
        <f t="shared" si="6"/>
        <v>6.6122448979591848</v>
      </c>
      <c r="F17" s="10">
        <f t="shared" si="6"/>
        <v>17.002915451895046</v>
      </c>
      <c r="G17" s="10">
        <f t="shared" si="6"/>
        <v>43.72178259058726</v>
      </c>
      <c r="H17" s="10">
        <f t="shared" si="6"/>
        <v>112.42744094722438</v>
      </c>
      <c r="I17" s="290">
        <f t="shared" si="6"/>
        <v>289.09913386429128</v>
      </c>
      <c r="J17" s="281">
        <f t="shared" si="6"/>
        <v>743.39777279389182</v>
      </c>
    </row>
    <row r="18" spans="2:10" ht="15" thickBot="1">
      <c r="B18" s="282" t="s">
        <v>915</v>
      </c>
      <c r="C18" s="25"/>
      <c r="D18" s="295">
        <f t="shared" ref="D18:J18" si="7">(D15+C16)/2*0.5</f>
        <v>12.5</v>
      </c>
      <c r="E18" s="282">
        <f t="shared" si="7"/>
        <v>12.5</v>
      </c>
      <c r="F18" s="25">
        <f t="shared" si="7"/>
        <v>12.5</v>
      </c>
      <c r="G18" s="25">
        <f t="shared" si="7"/>
        <v>12.5</v>
      </c>
      <c r="H18" s="25">
        <f t="shared" si="7"/>
        <v>12.5</v>
      </c>
      <c r="I18" s="25">
        <f t="shared" si="7"/>
        <v>12.5</v>
      </c>
      <c r="J18" s="283">
        <f t="shared" si="7"/>
        <v>12.5</v>
      </c>
    </row>
    <row r="19" spans="2:10">
      <c r="B19" s="284"/>
      <c r="C19" s="18"/>
      <c r="D19" s="278">
        <v>36</v>
      </c>
      <c r="E19" s="292">
        <v>36</v>
      </c>
      <c r="F19" s="18">
        <v>36</v>
      </c>
      <c r="G19" s="18">
        <v>36</v>
      </c>
      <c r="H19" s="18">
        <v>36</v>
      </c>
      <c r="I19" s="18">
        <v>36</v>
      </c>
      <c r="J19" s="278">
        <v>36</v>
      </c>
    </row>
    <row r="20" spans="2:10">
      <c r="B20" s="286"/>
      <c r="C20" s="288">
        <v>15</v>
      </c>
      <c r="D20" s="279">
        <v>14</v>
      </c>
      <c r="E20" s="293">
        <v>14</v>
      </c>
      <c r="F20" s="9">
        <v>14</v>
      </c>
      <c r="G20" s="9">
        <v>14</v>
      </c>
      <c r="H20" s="9">
        <v>14</v>
      </c>
      <c r="I20" s="9">
        <v>14</v>
      </c>
      <c r="J20" s="279"/>
    </row>
    <row r="21" spans="2:10">
      <c r="B21" s="280" t="s">
        <v>907</v>
      </c>
      <c r="C21" s="10">
        <v>1</v>
      </c>
      <c r="D21" s="281">
        <f t="shared" ref="D21" si="8">C21*D19/C20</f>
        <v>2.4</v>
      </c>
      <c r="E21" s="280">
        <f t="shared" ref="E21" si="9">D21*E19/D20</f>
        <v>6.1714285714285708</v>
      </c>
      <c r="F21" s="10">
        <f t="shared" ref="F21" si="10">E21*F19/E20</f>
        <v>15.869387755102039</v>
      </c>
      <c r="G21" s="10">
        <f t="shared" ref="G21" si="11">F21*G19/F20</f>
        <v>40.806997084548094</v>
      </c>
      <c r="H21" s="10">
        <f t="shared" ref="H21" si="12">G21*H19/G20</f>
        <v>104.93227821740938</v>
      </c>
      <c r="I21" s="290">
        <f t="shared" ref="I21" si="13">H21*I19/H20</f>
        <v>269.82585827333838</v>
      </c>
      <c r="J21" s="281">
        <f t="shared" ref="J21" si="14">I21*J19/I20</f>
        <v>693.83792127429865</v>
      </c>
    </row>
    <row r="22" spans="2:10" ht="15" thickBot="1">
      <c r="B22" s="282" t="s">
        <v>915</v>
      </c>
      <c r="C22" s="25"/>
      <c r="D22" s="295">
        <f t="shared" ref="D22" si="15">(D19+C20)/2*0.5</f>
        <v>12.75</v>
      </c>
      <c r="E22" s="282">
        <f t="shared" ref="E22" si="16">(E19+D20)/2*0.5</f>
        <v>12.5</v>
      </c>
      <c r="F22" s="25">
        <f t="shared" ref="F22" si="17">(F19+E20)/2*0.5</f>
        <v>12.5</v>
      </c>
      <c r="G22" s="25">
        <f t="shared" ref="G22" si="18">(G19+F20)/2*0.5</f>
        <v>12.5</v>
      </c>
      <c r="H22" s="25">
        <f t="shared" ref="H22" si="19">(H19+G20)/2*0.5</f>
        <v>12.5</v>
      </c>
      <c r="I22" s="25">
        <f t="shared" ref="I22" si="20">(I19+H20)/2*0.5</f>
        <v>12.5</v>
      </c>
      <c r="J22" s="283">
        <f t="shared" ref="J22" si="21">(J19+I20)/2*0.5</f>
        <v>12.5</v>
      </c>
    </row>
    <row r="23" spans="2:10">
      <c r="B23" s="284"/>
      <c r="C23" s="18"/>
      <c r="D23" s="278">
        <v>36</v>
      </c>
      <c r="E23" s="292">
        <v>36</v>
      </c>
      <c r="F23" s="18">
        <v>36</v>
      </c>
      <c r="G23" s="18">
        <v>36</v>
      </c>
      <c r="H23" s="18">
        <v>36</v>
      </c>
      <c r="I23" s="18">
        <v>36</v>
      </c>
      <c r="J23" s="278">
        <v>36</v>
      </c>
    </row>
    <row r="24" spans="2:10">
      <c r="B24" s="286"/>
      <c r="C24" s="288">
        <v>16</v>
      </c>
      <c r="D24" s="279">
        <v>14</v>
      </c>
      <c r="E24" s="293">
        <v>14</v>
      </c>
      <c r="F24" s="9">
        <v>14</v>
      </c>
      <c r="G24" s="9">
        <v>14</v>
      </c>
      <c r="H24" s="9">
        <v>14</v>
      </c>
      <c r="I24" s="9">
        <v>14</v>
      </c>
      <c r="J24" s="279"/>
    </row>
    <row r="25" spans="2:10">
      <c r="B25" s="280" t="s">
        <v>907</v>
      </c>
      <c r="C25" s="10">
        <v>1</v>
      </c>
      <c r="D25" s="281">
        <f t="shared" ref="D25" si="22">C25*D23/C24</f>
        <v>2.25</v>
      </c>
      <c r="E25" s="280">
        <f t="shared" ref="E25" si="23">D25*E23/D24</f>
        <v>5.7857142857142856</v>
      </c>
      <c r="F25" s="10">
        <f t="shared" ref="F25" si="24">E25*F23/E24</f>
        <v>14.877551020408163</v>
      </c>
      <c r="G25" s="10">
        <f t="shared" ref="G25" si="25">F25*G23/F24</f>
        <v>38.25655976676385</v>
      </c>
      <c r="H25" s="10">
        <f t="shared" ref="H25" si="26">G25*H23/G24</f>
        <v>98.374010828821341</v>
      </c>
      <c r="I25" s="290">
        <f t="shared" ref="I25" si="27">H25*I23/H24</f>
        <v>252.96174213125488</v>
      </c>
      <c r="J25" s="281">
        <f t="shared" ref="J25" si="28">I25*J23/I24</f>
        <v>650.47305119465545</v>
      </c>
    </row>
    <row r="26" spans="2:10" ht="15" thickBot="1">
      <c r="B26" s="282" t="s">
        <v>915</v>
      </c>
      <c r="C26" s="25"/>
      <c r="D26" s="295">
        <f t="shared" ref="D26" si="29">(D23+C24)/2*0.5</f>
        <v>13</v>
      </c>
      <c r="E26" s="282">
        <f t="shared" ref="E26" si="30">(E23+D24)/2*0.5</f>
        <v>12.5</v>
      </c>
      <c r="F26" s="25">
        <f t="shared" ref="F26" si="31">(F23+E24)/2*0.5</f>
        <v>12.5</v>
      </c>
      <c r="G26" s="25">
        <f t="shared" ref="G26" si="32">(G23+F24)/2*0.5</f>
        <v>12.5</v>
      </c>
      <c r="H26" s="25">
        <f t="shared" ref="H26" si="33">(H23+G24)/2*0.5</f>
        <v>12.5</v>
      </c>
      <c r="I26" s="25">
        <f t="shared" ref="I26" si="34">(I23+H24)/2*0.5</f>
        <v>12.5</v>
      </c>
      <c r="J26" s="283">
        <f t="shared" ref="J26" si="35">(J23+I24)/2*0.5</f>
        <v>12.5</v>
      </c>
    </row>
    <row r="27" spans="2:10">
      <c r="B27" s="284"/>
      <c r="C27" s="18"/>
      <c r="D27" s="278">
        <v>36</v>
      </c>
      <c r="E27" s="292">
        <v>36</v>
      </c>
      <c r="F27" s="18">
        <v>36</v>
      </c>
      <c r="G27" s="18">
        <v>36</v>
      </c>
      <c r="H27" s="18">
        <v>36</v>
      </c>
      <c r="I27" s="18">
        <v>36</v>
      </c>
      <c r="J27" s="278">
        <v>36</v>
      </c>
    </row>
    <row r="28" spans="2:10">
      <c r="B28" s="286"/>
      <c r="C28" s="288">
        <v>18</v>
      </c>
      <c r="D28" s="279">
        <v>14</v>
      </c>
      <c r="E28" s="293">
        <v>14</v>
      </c>
      <c r="F28" s="9">
        <v>14</v>
      </c>
      <c r="G28" s="9">
        <v>14</v>
      </c>
      <c r="H28" s="9">
        <v>14</v>
      </c>
      <c r="I28" s="9">
        <v>14</v>
      </c>
      <c r="J28" s="279"/>
    </row>
    <row r="29" spans="2:10">
      <c r="B29" s="280" t="s">
        <v>907</v>
      </c>
      <c r="C29" s="10">
        <v>1</v>
      </c>
      <c r="D29" s="281">
        <f t="shared" ref="D29:J29" si="36">C29*D27/C28</f>
        <v>2</v>
      </c>
      <c r="E29" s="280">
        <f t="shared" si="36"/>
        <v>5.1428571428571432</v>
      </c>
      <c r="F29" s="10">
        <f t="shared" si="36"/>
        <v>13.22448979591837</v>
      </c>
      <c r="G29" s="10">
        <f t="shared" si="36"/>
        <v>34.005830903790091</v>
      </c>
      <c r="H29" s="10">
        <f t="shared" si="36"/>
        <v>87.44356518117452</v>
      </c>
      <c r="I29" s="290">
        <f t="shared" si="36"/>
        <v>224.85488189444877</v>
      </c>
      <c r="J29" s="281">
        <f t="shared" si="36"/>
        <v>578.19826772858255</v>
      </c>
    </row>
    <row r="30" spans="2:10" ht="15" thickBot="1">
      <c r="B30" s="282" t="s">
        <v>915</v>
      </c>
      <c r="C30" s="25"/>
      <c r="D30" s="295">
        <f t="shared" ref="D30:J30" si="37">(D27+C28)/2*0.5</f>
        <v>13.5</v>
      </c>
      <c r="E30" s="282">
        <f t="shared" si="37"/>
        <v>12.5</v>
      </c>
      <c r="F30" s="25">
        <f t="shared" si="37"/>
        <v>12.5</v>
      </c>
      <c r="G30" s="25">
        <f t="shared" si="37"/>
        <v>12.5</v>
      </c>
      <c r="H30" s="25">
        <f t="shared" si="37"/>
        <v>12.5</v>
      </c>
      <c r="I30" s="25">
        <f t="shared" si="37"/>
        <v>12.5</v>
      </c>
      <c r="J30" s="283">
        <f t="shared" si="37"/>
        <v>12.5</v>
      </c>
    </row>
    <row r="31" spans="2:10">
      <c r="B31" s="284" t="s">
        <v>917</v>
      </c>
      <c r="C31" s="287"/>
      <c r="D31" s="296">
        <v>34</v>
      </c>
      <c r="E31" s="292">
        <v>36</v>
      </c>
      <c r="F31" s="18">
        <v>36</v>
      </c>
      <c r="G31" s="18">
        <v>36</v>
      </c>
      <c r="H31" s="18">
        <v>36</v>
      </c>
      <c r="I31" s="18">
        <v>36</v>
      </c>
      <c r="J31" s="278">
        <v>36</v>
      </c>
    </row>
    <row r="32" spans="2:10">
      <c r="B32" s="286" t="s">
        <v>919</v>
      </c>
      <c r="C32" s="288">
        <v>10</v>
      </c>
      <c r="D32" s="297">
        <v>14</v>
      </c>
      <c r="E32" s="293">
        <v>14</v>
      </c>
      <c r="F32" s="9">
        <v>14</v>
      </c>
      <c r="G32" s="9">
        <v>14</v>
      </c>
      <c r="H32" s="9">
        <v>14</v>
      </c>
      <c r="I32" s="9">
        <v>14</v>
      </c>
      <c r="J32" s="279"/>
    </row>
    <row r="33" spans="2:10">
      <c r="B33" s="280" t="s">
        <v>907</v>
      </c>
      <c r="C33" s="10">
        <v>1</v>
      </c>
      <c r="D33" s="281">
        <f t="shared" ref="D33:J33" si="38">C33*D31/C32</f>
        <v>3.4</v>
      </c>
      <c r="E33" s="280">
        <f t="shared" si="38"/>
        <v>8.742857142857142</v>
      </c>
      <c r="F33" s="10">
        <f t="shared" si="38"/>
        <v>22.481632653061222</v>
      </c>
      <c r="G33" s="10">
        <f t="shared" si="38"/>
        <v>57.809912536443143</v>
      </c>
      <c r="H33" s="10">
        <f t="shared" si="38"/>
        <v>148.65406080799667</v>
      </c>
      <c r="I33" s="10">
        <f t="shared" si="38"/>
        <v>382.25329922056289</v>
      </c>
      <c r="J33" s="281">
        <f t="shared" si="38"/>
        <v>982.93705513859027</v>
      </c>
    </row>
    <row r="34" spans="2:10" ht="15" thickBot="1">
      <c r="B34" s="282" t="s">
        <v>915</v>
      </c>
      <c r="C34" s="25"/>
      <c r="D34" s="283">
        <f t="shared" ref="D34:J34" si="39">(D31+C32)/2*0.5</f>
        <v>11</v>
      </c>
      <c r="E34" s="282">
        <f t="shared" si="39"/>
        <v>12.5</v>
      </c>
      <c r="F34" s="25">
        <f t="shared" si="39"/>
        <v>12.5</v>
      </c>
      <c r="G34" s="25">
        <f t="shared" si="39"/>
        <v>12.5</v>
      </c>
      <c r="H34" s="25">
        <f t="shared" si="39"/>
        <v>12.5</v>
      </c>
      <c r="I34" s="25">
        <f t="shared" si="39"/>
        <v>12.5</v>
      </c>
      <c r="J34" s="283">
        <f t="shared" si="39"/>
        <v>12.5</v>
      </c>
    </row>
    <row r="35" spans="2:10">
      <c r="B35" s="284" t="s">
        <v>917</v>
      </c>
      <c r="C35" s="287"/>
      <c r="D35" s="296">
        <v>32</v>
      </c>
      <c r="E35" s="292">
        <v>36</v>
      </c>
      <c r="F35" s="18">
        <v>36</v>
      </c>
      <c r="G35" s="18">
        <v>36</v>
      </c>
      <c r="H35" s="18">
        <v>36</v>
      </c>
      <c r="I35" s="18">
        <v>36</v>
      </c>
      <c r="J35" s="278">
        <v>36</v>
      </c>
    </row>
    <row r="36" spans="2:10">
      <c r="B36" s="286" t="s">
        <v>919</v>
      </c>
      <c r="C36" s="288">
        <v>12</v>
      </c>
      <c r="D36" s="297">
        <v>14</v>
      </c>
      <c r="E36" s="293">
        <v>14</v>
      </c>
      <c r="F36" s="9">
        <v>14</v>
      </c>
      <c r="G36" s="9">
        <v>14</v>
      </c>
      <c r="H36" s="9">
        <v>14</v>
      </c>
      <c r="I36" s="9">
        <v>14</v>
      </c>
      <c r="J36" s="279"/>
    </row>
    <row r="37" spans="2:10">
      <c r="B37" s="280" t="s">
        <v>907</v>
      </c>
      <c r="C37" s="10">
        <v>1</v>
      </c>
      <c r="D37" s="281">
        <f t="shared" ref="D37:J37" si="40">C37*D35/C36</f>
        <v>2.6666666666666665</v>
      </c>
      <c r="E37" s="280">
        <f t="shared" si="40"/>
        <v>6.8571428571428568</v>
      </c>
      <c r="F37" s="10">
        <f t="shared" si="40"/>
        <v>17.632653061224488</v>
      </c>
      <c r="G37" s="10">
        <f t="shared" si="40"/>
        <v>45.341107871720112</v>
      </c>
      <c r="H37" s="10">
        <f t="shared" si="40"/>
        <v>116.591420241566</v>
      </c>
      <c r="I37" s="10">
        <f t="shared" si="40"/>
        <v>299.8065091925983</v>
      </c>
      <c r="J37" s="281">
        <f t="shared" si="40"/>
        <v>770.93102363810988</v>
      </c>
    </row>
    <row r="38" spans="2:10" ht="15" thickBot="1">
      <c r="B38" s="282" t="s">
        <v>915</v>
      </c>
      <c r="C38" s="25"/>
      <c r="D38" s="283">
        <f t="shared" ref="D38:J38" si="41">(D35+C36)/2*0.5</f>
        <v>11</v>
      </c>
      <c r="E38" s="282">
        <f t="shared" si="41"/>
        <v>12.5</v>
      </c>
      <c r="F38" s="25">
        <f t="shared" si="41"/>
        <v>12.5</v>
      </c>
      <c r="G38" s="25">
        <f t="shared" si="41"/>
        <v>12.5</v>
      </c>
      <c r="H38" s="25">
        <f t="shared" si="41"/>
        <v>12.5</v>
      </c>
      <c r="I38" s="25">
        <f t="shared" si="41"/>
        <v>12.5</v>
      </c>
      <c r="J38" s="283">
        <f t="shared" si="41"/>
        <v>12.5</v>
      </c>
    </row>
    <row r="39" spans="2:10">
      <c r="B39" s="284" t="s">
        <v>917</v>
      </c>
      <c r="C39" s="287"/>
      <c r="D39" s="296">
        <v>30</v>
      </c>
      <c r="E39" s="292">
        <v>36</v>
      </c>
      <c r="F39" s="18">
        <v>36</v>
      </c>
      <c r="G39" s="18">
        <v>36</v>
      </c>
      <c r="H39" s="18">
        <v>36</v>
      </c>
      <c r="I39" s="18">
        <v>36</v>
      </c>
      <c r="J39" s="278">
        <v>36</v>
      </c>
    </row>
    <row r="40" spans="2:10">
      <c r="B40" s="286"/>
      <c r="C40" s="288">
        <v>14</v>
      </c>
      <c r="D40" s="297">
        <v>14</v>
      </c>
      <c r="E40" s="293">
        <v>14</v>
      </c>
      <c r="F40" s="9">
        <v>14</v>
      </c>
      <c r="G40" s="9">
        <v>14</v>
      </c>
      <c r="H40" s="9">
        <v>14</v>
      </c>
      <c r="I40" s="9">
        <v>14</v>
      </c>
      <c r="J40" s="279"/>
    </row>
    <row r="41" spans="2:10">
      <c r="B41" s="280" t="s">
        <v>907</v>
      </c>
      <c r="C41" s="10">
        <v>1</v>
      </c>
      <c r="D41" s="281">
        <f t="shared" ref="D41:J41" si="42">C41*D39/C40</f>
        <v>2.1428571428571428</v>
      </c>
      <c r="E41" s="280">
        <f t="shared" si="42"/>
        <v>5.5102040816326525</v>
      </c>
      <c r="F41" s="10">
        <f t="shared" si="42"/>
        <v>14.169096209912535</v>
      </c>
      <c r="G41" s="10">
        <f t="shared" si="42"/>
        <v>36.43481882548938</v>
      </c>
      <c r="H41" s="10">
        <f t="shared" si="42"/>
        <v>93.689534122686979</v>
      </c>
      <c r="I41" s="289">
        <f t="shared" si="42"/>
        <v>240.91594488690936</v>
      </c>
      <c r="J41" s="281">
        <f t="shared" si="42"/>
        <v>619.49814399490981</v>
      </c>
    </row>
    <row r="42" spans="2:10" ht="15" thickBot="1">
      <c r="B42" s="282" t="s">
        <v>915</v>
      </c>
      <c r="C42" s="25"/>
      <c r="D42" s="283">
        <f t="shared" ref="D42:J42" si="43">(D39+C40)/2*0.5</f>
        <v>11</v>
      </c>
      <c r="E42" s="282">
        <f t="shared" si="43"/>
        <v>12.5</v>
      </c>
      <c r="F42" s="25">
        <f t="shared" si="43"/>
        <v>12.5</v>
      </c>
      <c r="G42" s="25">
        <f t="shared" si="43"/>
        <v>12.5</v>
      </c>
      <c r="H42" s="25">
        <f t="shared" si="43"/>
        <v>12.5</v>
      </c>
      <c r="I42" s="25">
        <f t="shared" si="43"/>
        <v>12.5</v>
      </c>
      <c r="J42" s="283">
        <f t="shared" si="43"/>
        <v>12.5</v>
      </c>
    </row>
    <row r="43" spans="2:10">
      <c r="B43" s="284" t="s">
        <v>917</v>
      </c>
      <c r="C43" s="287"/>
      <c r="D43" s="296">
        <v>28</v>
      </c>
      <c r="E43" s="292">
        <v>36</v>
      </c>
      <c r="F43" s="18">
        <v>36</v>
      </c>
      <c r="G43" s="18">
        <v>36</v>
      </c>
      <c r="H43" s="18">
        <v>36</v>
      </c>
      <c r="I43" s="18">
        <v>36</v>
      </c>
      <c r="J43" s="278">
        <v>36</v>
      </c>
    </row>
    <row r="44" spans="2:10">
      <c r="B44" s="286"/>
      <c r="C44" s="288">
        <v>16</v>
      </c>
      <c r="D44" s="297">
        <v>14</v>
      </c>
      <c r="E44" s="293">
        <v>14</v>
      </c>
      <c r="F44" s="9">
        <v>14</v>
      </c>
      <c r="G44" s="9">
        <v>14</v>
      </c>
      <c r="H44" s="9">
        <v>14</v>
      </c>
      <c r="I44" s="9">
        <v>14</v>
      </c>
      <c r="J44" s="279"/>
    </row>
    <row r="45" spans="2:10">
      <c r="B45" s="280" t="s">
        <v>907</v>
      </c>
      <c r="C45" s="10">
        <v>1</v>
      </c>
      <c r="D45" s="281">
        <f t="shared" ref="D45" si="44">C45*D43/C44</f>
        <v>1.75</v>
      </c>
      <c r="E45" s="280">
        <f t="shared" ref="E45" si="45">D45*E43/D44</f>
        <v>4.5</v>
      </c>
      <c r="F45" s="10">
        <f t="shared" ref="F45" si="46">E45*F43/E44</f>
        <v>11.571428571428571</v>
      </c>
      <c r="G45" s="10">
        <f t="shared" ref="G45" si="47">F45*G43/F44</f>
        <v>29.755102040816325</v>
      </c>
      <c r="H45" s="10">
        <f t="shared" ref="H45" si="48">G45*H43/G44</f>
        <v>76.5131195335277</v>
      </c>
      <c r="I45" s="289">
        <f t="shared" ref="I45" si="49">H45*I43/H44</f>
        <v>196.74802165764268</v>
      </c>
      <c r="J45" s="281">
        <f t="shared" ref="J45" si="50">I45*J43/I44</f>
        <v>505.92348426250976</v>
      </c>
    </row>
    <row r="46" spans="2:10" ht="15" thickBot="1">
      <c r="B46" s="282" t="s">
        <v>915</v>
      </c>
      <c r="C46" s="25"/>
      <c r="D46" s="283">
        <f t="shared" ref="D46" si="51">(D43+C44)/2*0.5</f>
        <v>11</v>
      </c>
      <c r="E46" s="282">
        <f t="shared" ref="E46" si="52">(E43+D44)/2*0.5</f>
        <v>12.5</v>
      </c>
      <c r="F46" s="25">
        <f t="shared" ref="F46" si="53">(F43+E44)/2*0.5</f>
        <v>12.5</v>
      </c>
      <c r="G46" s="25">
        <f t="shared" ref="G46" si="54">(G43+F44)/2*0.5</f>
        <v>12.5</v>
      </c>
      <c r="H46" s="25">
        <f t="shared" ref="H46" si="55">(H43+G44)/2*0.5</f>
        <v>12.5</v>
      </c>
      <c r="I46" s="25">
        <f t="shared" ref="I46" si="56">(I43+H44)/2*0.5</f>
        <v>12.5</v>
      </c>
      <c r="J46" s="283">
        <f t="shared" ref="J46" si="57">(J43+I44)/2*0.5</f>
        <v>12.5</v>
      </c>
    </row>
    <row r="47" spans="2:10">
      <c r="B47" s="284" t="s">
        <v>917</v>
      </c>
      <c r="C47" s="287"/>
      <c r="D47" s="296">
        <v>26</v>
      </c>
      <c r="E47" s="292">
        <v>36</v>
      </c>
      <c r="F47" s="18">
        <v>36</v>
      </c>
      <c r="G47" s="18">
        <v>36</v>
      </c>
      <c r="H47" s="18">
        <v>36</v>
      </c>
      <c r="I47" s="18">
        <v>36</v>
      </c>
      <c r="J47" s="278">
        <v>36</v>
      </c>
    </row>
    <row r="48" spans="2:10">
      <c r="B48" s="286"/>
      <c r="C48" s="288">
        <v>18</v>
      </c>
      <c r="D48" s="297">
        <v>14</v>
      </c>
      <c r="E48" s="293">
        <v>14</v>
      </c>
      <c r="F48" s="9">
        <v>14</v>
      </c>
      <c r="G48" s="9">
        <v>14</v>
      </c>
      <c r="H48" s="9">
        <v>14</v>
      </c>
      <c r="I48" s="9">
        <v>14</v>
      </c>
      <c r="J48" s="279"/>
    </row>
    <row r="49" spans="2:10">
      <c r="B49" s="280" t="s">
        <v>907</v>
      </c>
      <c r="C49" s="10">
        <v>1</v>
      </c>
      <c r="D49" s="281">
        <f t="shared" ref="D49:J49" si="58">C49*D47/C48</f>
        <v>1.4444444444444444</v>
      </c>
      <c r="E49" s="280">
        <f t="shared" si="58"/>
        <v>3.7142857142857144</v>
      </c>
      <c r="F49" s="10">
        <f t="shared" si="58"/>
        <v>9.5510204081632661</v>
      </c>
      <c r="G49" s="10">
        <f t="shared" si="58"/>
        <v>24.559766763848398</v>
      </c>
      <c r="H49" s="10">
        <f t="shared" si="58"/>
        <v>63.153685964181591</v>
      </c>
      <c r="I49" s="291">
        <f t="shared" si="58"/>
        <v>162.39519247932409</v>
      </c>
      <c r="J49" s="281">
        <f t="shared" si="58"/>
        <v>417.58763780397624</v>
      </c>
    </row>
    <row r="50" spans="2:10" ht="15" thickBot="1">
      <c r="B50" s="282" t="s">
        <v>915</v>
      </c>
      <c r="C50" s="25"/>
      <c r="D50" s="283">
        <f t="shared" ref="D50:J50" si="59">(D47+C48)/2*0.5</f>
        <v>11</v>
      </c>
      <c r="E50" s="282">
        <f t="shared" si="59"/>
        <v>12.5</v>
      </c>
      <c r="F50" s="25">
        <f t="shared" si="59"/>
        <v>12.5</v>
      </c>
      <c r="G50" s="25">
        <f t="shared" si="59"/>
        <v>12.5</v>
      </c>
      <c r="H50" s="25">
        <f t="shared" si="59"/>
        <v>12.5</v>
      </c>
      <c r="I50" s="25">
        <f t="shared" si="59"/>
        <v>12.5</v>
      </c>
      <c r="J50" s="283">
        <f t="shared" si="59"/>
        <v>12.5</v>
      </c>
    </row>
    <row r="51" spans="2:10">
      <c r="B51" s="284"/>
      <c r="C51" s="18"/>
      <c r="D51" s="296">
        <v>32</v>
      </c>
      <c r="E51" s="292">
        <v>36</v>
      </c>
      <c r="F51" s="18">
        <v>36</v>
      </c>
      <c r="G51" s="18">
        <v>36</v>
      </c>
      <c r="H51" s="18">
        <v>36</v>
      </c>
      <c r="I51" s="18">
        <v>36</v>
      </c>
      <c r="J51" s="278">
        <v>36</v>
      </c>
    </row>
    <row r="52" spans="2:10">
      <c r="B52" s="286"/>
      <c r="C52" s="288">
        <v>10</v>
      </c>
      <c r="D52" s="297">
        <v>10</v>
      </c>
      <c r="E52" s="293">
        <v>14</v>
      </c>
      <c r="F52" s="9">
        <v>14</v>
      </c>
      <c r="G52" s="9">
        <v>14</v>
      </c>
      <c r="H52" s="9">
        <v>14</v>
      </c>
      <c r="I52" s="9">
        <v>14</v>
      </c>
      <c r="J52" s="279"/>
    </row>
    <row r="53" spans="2:10">
      <c r="B53" s="280" t="s">
        <v>907</v>
      </c>
      <c r="C53" s="10">
        <v>1</v>
      </c>
      <c r="D53" s="281">
        <f t="shared" ref="D53:J53" si="60">C53*D51/C52</f>
        <v>3.2</v>
      </c>
      <c r="E53" s="280">
        <f t="shared" si="60"/>
        <v>11.52</v>
      </c>
      <c r="F53" s="10">
        <f t="shared" si="60"/>
        <v>29.622857142857139</v>
      </c>
      <c r="G53" s="10">
        <f t="shared" si="60"/>
        <v>76.173061224489786</v>
      </c>
      <c r="H53" s="289">
        <f t="shared" si="60"/>
        <v>195.87358600583087</v>
      </c>
      <c r="I53" s="10">
        <f t="shared" si="60"/>
        <v>503.67493544356512</v>
      </c>
      <c r="J53" s="281">
        <f t="shared" si="60"/>
        <v>1295.1641197120246</v>
      </c>
    </row>
    <row r="54" spans="2:10" ht="15" thickBot="1">
      <c r="B54" s="282" t="s">
        <v>915</v>
      </c>
      <c r="C54" s="25"/>
      <c r="D54" s="295">
        <f t="shared" ref="D54:J54" si="61">(D51+C52)/2*0.5</f>
        <v>10.5</v>
      </c>
      <c r="E54" s="294">
        <f t="shared" si="61"/>
        <v>11.5</v>
      </c>
      <c r="F54" s="25">
        <f t="shared" si="61"/>
        <v>12.5</v>
      </c>
      <c r="G54" s="25">
        <f t="shared" si="61"/>
        <v>12.5</v>
      </c>
      <c r="H54" s="25">
        <f t="shared" si="61"/>
        <v>12.5</v>
      </c>
      <c r="I54" s="25">
        <f t="shared" si="61"/>
        <v>12.5</v>
      </c>
      <c r="J54" s="283">
        <f t="shared" si="61"/>
        <v>12.5</v>
      </c>
    </row>
    <row r="55" spans="2:10">
      <c r="B55" s="284"/>
      <c r="C55" s="18"/>
      <c r="D55" s="296">
        <v>34</v>
      </c>
      <c r="E55" s="292">
        <v>36</v>
      </c>
      <c r="F55" s="18">
        <v>36</v>
      </c>
      <c r="G55" s="18">
        <v>36</v>
      </c>
      <c r="H55" s="18">
        <v>36</v>
      </c>
      <c r="I55" s="18">
        <v>36</v>
      </c>
      <c r="J55" s="278">
        <v>36</v>
      </c>
    </row>
    <row r="56" spans="2:10">
      <c r="B56" s="286"/>
      <c r="C56" s="288">
        <v>10</v>
      </c>
      <c r="D56" s="297">
        <v>10</v>
      </c>
      <c r="E56" s="293">
        <v>14</v>
      </c>
      <c r="F56" s="9">
        <v>14</v>
      </c>
      <c r="G56" s="9">
        <v>14</v>
      </c>
      <c r="H56" s="9">
        <v>14</v>
      </c>
      <c r="I56" s="9">
        <v>14</v>
      </c>
      <c r="J56" s="279"/>
    </row>
    <row r="57" spans="2:10">
      <c r="B57" s="280" t="s">
        <v>907</v>
      </c>
      <c r="C57" s="10">
        <v>1</v>
      </c>
      <c r="D57" s="281">
        <f t="shared" ref="D57:J57" si="62">C57*D55/C56</f>
        <v>3.4</v>
      </c>
      <c r="E57" s="280">
        <f t="shared" si="62"/>
        <v>12.239999999999998</v>
      </c>
      <c r="F57" s="10">
        <f t="shared" si="62"/>
        <v>31.47428571428571</v>
      </c>
      <c r="G57" s="10">
        <f t="shared" si="62"/>
        <v>80.933877551020387</v>
      </c>
      <c r="H57" s="289">
        <f t="shared" si="62"/>
        <v>208.11568513119528</v>
      </c>
      <c r="I57" s="10">
        <f t="shared" si="62"/>
        <v>535.15461890878782</v>
      </c>
      <c r="J57" s="281">
        <f t="shared" si="62"/>
        <v>1376.1118771940257</v>
      </c>
    </row>
    <row r="58" spans="2:10" ht="15" thickBot="1">
      <c r="B58" s="282" t="s">
        <v>915</v>
      </c>
      <c r="C58" s="25"/>
      <c r="D58" s="283">
        <f t="shared" ref="D58:J58" si="63">(D55+C56)/2*0.5</f>
        <v>11</v>
      </c>
      <c r="E58" s="294">
        <f t="shared" si="63"/>
        <v>11.5</v>
      </c>
      <c r="F58" s="25">
        <f t="shared" si="63"/>
        <v>12.5</v>
      </c>
      <c r="G58" s="25">
        <f t="shared" si="63"/>
        <v>12.5</v>
      </c>
      <c r="H58" s="25">
        <f t="shared" si="63"/>
        <v>12.5</v>
      </c>
      <c r="I58" s="25">
        <f t="shared" si="63"/>
        <v>12.5</v>
      </c>
      <c r="J58" s="283">
        <f t="shared" si="63"/>
        <v>12.5</v>
      </c>
    </row>
    <row r="59" spans="2:10">
      <c r="B59" s="284" t="s">
        <v>918</v>
      </c>
      <c r="C59" s="287"/>
      <c r="D59" s="296">
        <v>34</v>
      </c>
      <c r="E59" s="292">
        <v>36</v>
      </c>
      <c r="F59" s="18">
        <v>36</v>
      </c>
      <c r="G59" s="18">
        <v>36</v>
      </c>
      <c r="H59" s="18">
        <v>36</v>
      </c>
      <c r="I59" s="18">
        <v>36</v>
      </c>
      <c r="J59" s="278">
        <v>36</v>
      </c>
    </row>
    <row r="60" spans="2:10">
      <c r="B60" s="286"/>
      <c r="C60" s="288">
        <v>12</v>
      </c>
      <c r="D60" s="297">
        <v>12</v>
      </c>
      <c r="E60" s="293">
        <v>14</v>
      </c>
      <c r="F60" s="9">
        <v>14</v>
      </c>
      <c r="G60" s="9">
        <v>14</v>
      </c>
      <c r="H60" s="9">
        <v>14</v>
      </c>
      <c r="I60" s="9">
        <v>14</v>
      </c>
      <c r="J60" s="279"/>
    </row>
    <row r="61" spans="2:10">
      <c r="B61" s="280" t="s">
        <v>907</v>
      </c>
      <c r="C61" s="10">
        <v>1</v>
      </c>
      <c r="D61" s="281">
        <f t="shared" ref="D61:J61" si="64">C61*D59/C60</f>
        <v>2.8333333333333335</v>
      </c>
      <c r="E61" s="280">
        <f t="shared" si="64"/>
        <v>8.5</v>
      </c>
      <c r="F61" s="10">
        <f t="shared" si="64"/>
        <v>21.857142857142858</v>
      </c>
      <c r="G61" s="10">
        <f t="shared" si="64"/>
        <v>56.204081632653065</v>
      </c>
      <c r="H61" s="10">
        <f t="shared" si="64"/>
        <v>144.52478134110788</v>
      </c>
      <c r="I61" s="10">
        <f t="shared" si="64"/>
        <v>371.63515201999172</v>
      </c>
      <c r="J61" s="281">
        <f t="shared" si="64"/>
        <v>955.63324805140735</v>
      </c>
    </row>
    <row r="62" spans="2:10" ht="15" thickBot="1">
      <c r="B62" s="282" t="s">
        <v>915</v>
      </c>
      <c r="C62" s="25"/>
      <c r="D62" s="295">
        <f t="shared" ref="D62:J62" si="65">(D59+C60)/2*0.5</f>
        <v>11.5</v>
      </c>
      <c r="E62" s="294">
        <f t="shared" si="65"/>
        <v>12</v>
      </c>
      <c r="F62" s="25">
        <f t="shared" si="65"/>
        <v>12.5</v>
      </c>
      <c r="G62" s="25">
        <f t="shared" si="65"/>
        <v>12.5</v>
      </c>
      <c r="H62" s="25">
        <f t="shared" si="65"/>
        <v>12.5</v>
      </c>
      <c r="I62" s="25">
        <f t="shared" si="65"/>
        <v>12.5</v>
      </c>
      <c r="J62" s="283">
        <f t="shared" si="65"/>
        <v>12.5</v>
      </c>
    </row>
    <row r="63" spans="2:10">
      <c r="B63" s="284"/>
      <c r="C63" s="18"/>
      <c r="D63" s="296">
        <v>36</v>
      </c>
      <c r="E63" s="292">
        <v>36</v>
      </c>
      <c r="F63" s="18">
        <v>36</v>
      </c>
      <c r="G63" s="18">
        <v>36</v>
      </c>
      <c r="H63" s="18">
        <v>36</v>
      </c>
      <c r="I63" s="18">
        <v>36</v>
      </c>
      <c r="J63" s="278">
        <v>36</v>
      </c>
    </row>
    <row r="64" spans="2:10">
      <c r="B64" s="286"/>
      <c r="C64" s="288">
        <v>12</v>
      </c>
      <c r="D64" s="297">
        <v>12</v>
      </c>
      <c r="E64" s="293">
        <v>14</v>
      </c>
      <c r="F64" s="9">
        <v>14</v>
      </c>
      <c r="G64" s="9">
        <v>14</v>
      </c>
      <c r="H64" s="9">
        <v>14</v>
      </c>
      <c r="I64" s="9">
        <v>14</v>
      </c>
      <c r="J64" s="279"/>
    </row>
    <row r="65" spans="2:10">
      <c r="B65" s="280" t="s">
        <v>907</v>
      </c>
      <c r="C65" s="10">
        <v>1</v>
      </c>
      <c r="D65" s="281">
        <f t="shared" ref="D65:J65" si="66">C65*D63/C64</f>
        <v>3</v>
      </c>
      <c r="E65" s="280">
        <f t="shared" si="66"/>
        <v>9</v>
      </c>
      <c r="F65" s="10">
        <f t="shared" si="66"/>
        <v>23.142857142857142</v>
      </c>
      <c r="G65" s="10">
        <f t="shared" si="66"/>
        <v>59.510204081632651</v>
      </c>
      <c r="H65" s="10">
        <f t="shared" si="66"/>
        <v>153.0262390670554</v>
      </c>
      <c r="I65" s="10">
        <f t="shared" si="66"/>
        <v>393.49604331528536</v>
      </c>
      <c r="J65" s="281">
        <f t="shared" si="66"/>
        <v>1011.8469685250195</v>
      </c>
    </row>
    <row r="66" spans="2:10" ht="15" thickBot="1">
      <c r="B66" s="282" t="s">
        <v>915</v>
      </c>
      <c r="C66" s="25"/>
      <c r="D66" s="295">
        <f t="shared" ref="D66:J66" si="67">(D63+C64)/2*0.5</f>
        <v>12</v>
      </c>
      <c r="E66" s="294">
        <f t="shared" si="67"/>
        <v>12</v>
      </c>
      <c r="F66" s="25">
        <f t="shared" si="67"/>
        <v>12.5</v>
      </c>
      <c r="G66" s="25">
        <f t="shared" si="67"/>
        <v>12.5</v>
      </c>
      <c r="H66" s="25">
        <f t="shared" si="67"/>
        <v>12.5</v>
      </c>
      <c r="I66" s="25">
        <f t="shared" si="67"/>
        <v>12.5</v>
      </c>
      <c r="J66" s="283">
        <f t="shared" si="67"/>
        <v>12.5</v>
      </c>
    </row>
    <row r="67" spans="2:10">
      <c r="B67" s="284"/>
      <c r="C67" s="18"/>
      <c r="D67" s="296">
        <v>38</v>
      </c>
      <c r="E67" s="292">
        <v>36</v>
      </c>
      <c r="F67" s="18">
        <v>36</v>
      </c>
      <c r="G67" s="18">
        <v>36</v>
      </c>
      <c r="H67" s="18">
        <v>36</v>
      </c>
      <c r="I67" s="18">
        <v>36</v>
      </c>
      <c r="J67" s="278">
        <v>36</v>
      </c>
    </row>
    <row r="68" spans="2:10">
      <c r="B68" s="286" t="s">
        <v>919</v>
      </c>
      <c r="C68" s="288">
        <v>14</v>
      </c>
      <c r="D68" s="297">
        <v>14</v>
      </c>
      <c r="E68" s="293">
        <v>14</v>
      </c>
      <c r="F68" s="9">
        <v>14</v>
      </c>
      <c r="G68" s="9">
        <v>14</v>
      </c>
      <c r="H68" s="9">
        <v>14</v>
      </c>
      <c r="I68" s="9">
        <v>14</v>
      </c>
      <c r="J68" s="279"/>
    </row>
    <row r="69" spans="2:10">
      <c r="B69" s="280" t="s">
        <v>907</v>
      </c>
      <c r="C69" s="10">
        <v>1</v>
      </c>
      <c r="D69" s="298">
        <f t="shared" ref="D69:J69" si="68">C69*D67/C68</f>
        <v>2.7142857142857144</v>
      </c>
      <c r="E69" s="280">
        <f t="shared" si="68"/>
        <v>6.9795918367346941</v>
      </c>
      <c r="F69" s="10">
        <f t="shared" si="68"/>
        <v>17.947521865889211</v>
      </c>
      <c r="G69" s="10">
        <f t="shared" si="68"/>
        <v>46.150770512286542</v>
      </c>
      <c r="H69" s="10">
        <f t="shared" si="68"/>
        <v>118.67340988873683</v>
      </c>
      <c r="I69" s="10">
        <f t="shared" si="68"/>
        <v>305.16019685675184</v>
      </c>
      <c r="J69" s="281">
        <f t="shared" si="68"/>
        <v>784.69764906021908</v>
      </c>
    </row>
    <row r="70" spans="2:10" ht="15" thickBot="1">
      <c r="B70" s="282" t="s">
        <v>915</v>
      </c>
      <c r="C70" s="25"/>
      <c r="D70" s="295">
        <f t="shared" ref="D70:J70" si="69">(D67+C68)/2*0.5</f>
        <v>13</v>
      </c>
      <c r="E70" s="282">
        <f t="shared" si="69"/>
        <v>12.5</v>
      </c>
      <c r="F70" s="25">
        <f t="shared" si="69"/>
        <v>12.5</v>
      </c>
      <c r="G70" s="25">
        <f t="shared" si="69"/>
        <v>12.5</v>
      </c>
      <c r="H70" s="25">
        <f t="shared" si="69"/>
        <v>12.5</v>
      </c>
      <c r="I70" s="25">
        <f t="shared" si="69"/>
        <v>12.5</v>
      </c>
      <c r="J70" s="283">
        <f t="shared" si="69"/>
        <v>12.5</v>
      </c>
    </row>
    <row r="71" spans="2:10">
      <c r="B71" s="284"/>
      <c r="C71" s="18"/>
      <c r="D71" s="296">
        <v>38</v>
      </c>
      <c r="E71" s="292">
        <v>36</v>
      </c>
      <c r="F71" s="18">
        <v>36</v>
      </c>
      <c r="G71" s="18">
        <v>36</v>
      </c>
      <c r="H71" s="18">
        <v>36</v>
      </c>
      <c r="I71" s="18">
        <v>36</v>
      </c>
      <c r="J71" s="278">
        <v>36</v>
      </c>
    </row>
    <row r="72" spans="2:10">
      <c r="B72" s="286" t="s">
        <v>919</v>
      </c>
      <c r="C72" s="288">
        <v>16</v>
      </c>
      <c r="D72" s="297">
        <v>16</v>
      </c>
      <c r="E72" s="293">
        <v>14</v>
      </c>
      <c r="F72" s="9">
        <v>14</v>
      </c>
      <c r="G72" s="9">
        <v>14</v>
      </c>
      <c r="H72" s="9">
        <v>14</v>
      </c>
      <c r="I72" s="9">
        <v>14</v>
      </c>
      <c r="J72" s="279"/>
    </row>
    <row r="73" spans="2:10">
      <c r="B73" s="280" t="s">
        <v>907</v>
      </c>
      <c r="C73" s="10">
        <v>1</v>
      </c>
      <c r="D73" s="281">
        <f t="shared" ref="D73:J73" si="70">C73*D71/C72</f>
        <v>2.375</v>
      </c>
      <c r="E73" s="280">
        <f t="shared" si="70"/>
        <v>5.34375</v>
      </c>
      <c r="F73" s="10">
        <f t="shared" si="70"/>
        <v>13.741071428571429</v>
      </c>
      <c r="G73" s="10">
        <f t="shared" si="70"/>
        <v>35.33418367346939</v>
      </c>
      <c r="H73" s="10">
        <f t="shared" si="70"/>
        <v>90.859329446064152</v>
      </c>
      <c r="I73" s="289">
        <f t="shared" si="70"/>
        <v>233.63827571845067</v>
      </c>
      <c r="J73" s="281">
        <f t="shared" si="70"/>
        <v>600.78413756173029</v>
      </c>
    </row>
    <row r="74" spans="2:10" ht="15" thickBot="1">
      <c r="B74" s="282" t="s">
        <v>915</v>
      </c>
      <c r="C74" s="25"/>
      <c r="D74" s="295">
        <f t="shared" ref="D74:J74" si="71">(D71+C72)/2*0.5</f>
        <v>13.5</v>
      </c>
      <c r="E74" s="294">
        <f t="shared" si="71"/>
        <v>13</v>
      </c>
      <c r="F74" s="25">
        <f t="shared" si="71"/>
        <v>12.5</v>
      </c>
      <c r="G74" s="25">
        <f t="shared" si="71"/>
        <v>12.5</v>
      </c>
      <c r="H74" s="25">
        <f t="shared" si="71"/>
        <v>12.5</v>
      </c>
      <c r="I74" s="25">
        <f t="shared" si="71"/>
        <v>12.5</v>
      </c>
      <c r="J74" s="283">
        <f t="shared" si="71"/>
        <v>12.5</v>
      </c>
    </row>
    <row r="75" spans="2:10">
      <c r="B75" s="284" t="s">
        <v>917</v>
      </c>
      <c r="C75" s="287"/>
      <c r="D75" s="296">
        <v>20</v>
      </c>
      <c r="E75" s="292">
        <v>36</v>
      </c>
      <c r="F75" s="18">
        <v>36</v>
      </c>
      <c r="G75" s="18">
        <v>36</v>
      </c>
      <c r="H75" s="18">
        <v>36</v>
      </c>
      <c r="I75" s="18">
        <v>36</v>
      </c>
      <c r="J75" s="278">
        <v>36</v>
      </c>
    </row>
    <row r="76" spans="2:10">
      <c r="B76" s="286" t="s">
        <v>919</v>
      </c>
      <c r="C76" s="288">
        <v>24</v>
      </c>
      <c r="D76" s="297">
        <v>14</v>
      </c>
      <c r="E76" s="293">
        <v>14</v>
      </c>
      <c r="F76" s="9">
        <v>14</v>
      </c>
      <c r="G76" s="9">
        <v>14</v>
      </c>
      <c r="H76" s="9">
        <v>14</v>
      </c>
      <c r="I76" s="9">
        <v>14</v>
      </c>
      <c r="J76" s="279"/>
    </row>
    <row r="77" spans="2:10">
      <c r="B77" s="280" t="s">
        <v>907</v>
      </c>
      <c r="C77" s="10">
        <v>1</v>
      </c>
      <c r="D77" s="281">
        <f t="shared" ref="D77" si="72">C77*D75/C76</f>
        <v>0.83333333333333337</v>
      </c>
      <c r="E77" s="280">
        <f t="shared" ref="E77" si="73">D77*E75/D76</f>
        <v>2.1428571428571428</v>
      </c>
      <c r="F77" s="10">
        <f t="shared" ref="F77" si="74">E77*F75/E76</f>
        <v>5.5102040816326525</v>
      </c>
      <c r="G77" s="10">
        <f t="shared" ref="G77" si="75">F77*G75/F76</f>
        <v>14.169096209912535</v>
      </c>
      <c r="H77" s="10">
        <f t="shared" ref="H77" si="76">G77*H75/G76</f>
        <v>36.43481882548938</v>
      </c>
      <c r="I77" s="10">
        <f t="shared" ref="I77" si="77">H77*I75/H76</f>
        <v>93.689534122686979</v>
      </c>
      <c r="J77" s="299">
        <f t="shared" ref="J77" si="78">I77*J75/I76</f>
        <v>240.91594488690936</v>
      </c>
    </row>
    <row r="78" spans="2:10" ht="15" thickBot="1">
      <c r="B78" s="282" t="s">
        <v>915</v>
      </c>
      <c r="C78" s="25"/>
      <c r="D78" s="283">
        <f t="shared" ref="D78" si="79">(D75+C76)/2*0.5</f>
        <v>11</v>
      </c>
      <c r="E78" s="282">
        <f t="shared" ref="E78" si="80">(E75+D76)/2*0.5</f>
        <v>12.5</v>
      </c>
      <c r="F78" s="25">
        <f t="shared" ref="F78" si="81">(F75+E76)/2*0.5</f>
        <v>12.5</v>
      </c>
      <c r="G78" s="25">
        <f t="shared" ref="G78" si="82">(G75+F76)/2*0.5</f>
        <v>12.5</v>
      </c>
      <c r="H78" s="25">
        <f t="shared" ref="H78" si="83">(H75+G76)/2*0.5</f>
        <v>12.5</v>
      </c>
      <c r="I78" s="25">
        <f t="shared" ref="I78" si="84">(I75+H76)/2*0.5</f>
        <v>12.5</v>
      </c>
      <c r="J78" s="283">
        <f t="shared" ref="J78" si="85">(J75+I76)/2*0.5</f>
        <v>12.5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5"/>
  <sheetViews>
    <sheetView topLeftCell="B1" zoomScaleNormal="100" zoomScalePageLayoutView="150" workbookViewId="0">
      <pane xSplit="1" topLeftCell="C1" activePane="topRight" state="frozen"/>
      <selection activeCell="B1" sqref="B1"/>
      <selection pane="topRight" activeCell="P18" sqref="P18"/>
    </sheetView>
  </sheetViews>
  <sheetFormatPr defaultColWidth="12.69921875" defaultRowHeight="14.4"/>
  <cols>
    <col min="3" max="5" width="6.19921875" bestFit="1" customWidth="1"/>
    <col min="6" max="6" width="2.19921875" bestFit="1" customWidth="1"/>
    <col min="7" max="7" width="6.59765625" bestFit="1" customWidth="1"/>
    <col min="8" max="8" width="7.19921875" bestFit="1" customWidth="1"/>
    <col min="9" max="9" width="6.59765625" bestFit="1" customWidth="1"/>
    <col min="10" max="10" width="2.19921875" bestFit="1" customWidth="1"/>
    <col min="11" max="11" width="6.5" bestFit="1" customWidth="1"/>
    <col min="12" max="12" width="6.69921875" bestFit="1" customWidth="1"/>
    <col min="13" max="13" width="6.59765625" bestFit="1" customWidth="1"/>
    <col min="14" max="14" width="2.19921875" bestFit="1" customWidth="1"/>
    <col min="15" max="15" width="6.5" bestFit="1" customWidth="1"/>
    <col min="16" max="16" width="7" bestFit="1" customWidth="1"/>
    <col min="17" max="17" width="6.5" bestFit="1" customWidth="1"/>
    <col min="18" max="18" width="2.19921875" bestFit="1" customWidth="1"/>
    <col min="19" max="19" width="6.5" bestFit="1" customWidth="1"/>
    <col min="20" max="20" width="4.796875" bestFit="1" customWidth="1"/>
    <col min="21" max="21" width="8.5" bestFit="1" customWidth="1"/>
    <col min="22" max="22" width="2.19921875" bestFit="1" customWidth="1"/>
    <col min="23" max="23" width="6.5" bestFit="1" customWidth="1"/>
    <col min="24" max="24" width="5.19921875" bestFit="1" customWidth="1"/>
    <col min="25" max="25" width="8.296875" bestFit="1" customWidth="1"/>
    <col min="26" max="26" width="2.19921875" bestFit="1" customWidth="1"/>
    <col min="27" max="27" width="6.5" bestFit="1" customWidth="1"/>
    <col min="28" max="28" width="5.19921875" bestFit="1" customWidth="1"/>
    <col min="29" max="29" width="8.296875" bestFit="1" customWidth="1"/>
    <col min="30" max="30" width="2.19921875" bestFit="1" customWidth="1"/>
    <col min="31" max="31" width="6.5" bestFit="1" customWidth="1"/>
    <col min="32" max="32" width="4.796875" bestFit="1" customWidth="1"/>
    <col min="33" max="33" width="8.296875" bestFit="1" customWidth="1"/>
    <col min="34" max="34" width="2.19921875" bestFit="1" customWidth="1"/>
    <col min="35" max="35" width="6.5" bestFit="1" customWidth="1"/>
    <col min="36" max="36" width="5.796875" bestFit="1" customWidth="1"/>
    <col min="37" max="37" width="8.296875" bestFit="1" customWidth="1"/>
    <col min="38" max="38" width="2.19921875" bestFit="1" customWidth="1"/>
    <col min="39" max="39" width="6.796875" bestFit="1" customWidth="1"/>
    <col min="40" max="40" width="7.19921875" bestFit="1" customWidth="1"/>
    <col min="41" max="41" width="8.296875" bestFit="1" customWidth="1"/>
    <col min="42" max="42" width="2.19921875" bestFit="1" customWidth="1"/>
    <col min="43" max="43" width="6.5" bestFit="1" customWidth="1"/>
    <col min="44" max="44" width="5.796875" bestFit="1" customWidth="1"/>
    <col min="45" max="45" width="8.296875" bestFit="1" customWidth="1"/>
    <col min="46" max="46" width="2.19921875" bestFit="1" customWidth="1"/>
    <col min="47" max="47" width="6.5" bestFit="1" customWidth="1"/>
    <col min="48" max="48" width="5.19921875" bestFit="1" customWidth="1"/>
    <col min="49" max="49" width="8.296875" bestFit="1" customWidth="1"/>
    <col min="50" max="50" width="2.19921875" bestFit="1" customWidth="1"/>
    <col min="51" max="53" width="6.19921875" bestFit="1" customWidth="1"/>
    <col min="54" max="54" width="2.19921875" bestFit="1" customWidth="1"/>
    <col min="55" max="55" width="6.19921875" bestFit="1" customWidth="1"/>
    <col min="56" max="56" width="5.59765625" bestFit="1" customWidth="1"/>
    <col min="57" max="57" width="6.19921875" bestFit="1" customWidth="1"/>
    <col min="58" max="58" width="2.19921875" bestFit="1" customWidth="1"/>
    <col min="59" max="61" width="6.19921875" bestFit="1" customWidth="1"/>
    <col min="62" max="62" width="2.19921875" bestFit="1" customWidth="1"/>
    <col min="63" max="63" width="4.5" bestFit="1" customWidth="1"/>
    <col min="64" max="65" width="5.5" bestFit="1" customWidth="1"/>
    <col min="66" max="66" width="2.19921875" bestFit="1" customWidth="1"/>
  </cols>
  <sheetData>
    <row r="1" spans="1:65">
      <c r="C1" s="353" t="s">
        <v>729</v>
      </c>
      <c r="D1" s="353"/>
      <c r="E1" s="353"/>
      <c r="F1" t="s">
        <v>189</v>
      </c>
      <c r="J1" t="s">
        <v>109</v>
      </c>
      <c r="N1" t="s">
        <v>109</v>
      </c>
      <c r="R1" t="s">
        <v>109</v>
      </c>
      <c r="V1" t="s">
        <v>109</v>
      </c>
      <c r="Z1" t="s">
        <v>109</v>
      </c>
      <c r="AD1" t="s">
        <v>109</v>
      </c>
      <c r="AL1" t="s">
        <v>260</v>
      </c>
    </row>
    <row r="2" spans="1:65">
      <c r="C2" s="353" t="s">
        <v>188</v>
      </c>
      <c r="D2" s="353"/>
      <c r="E2" s="353"/>
      <c r="G2" s="353" t="s">
        <v>110</v>
      </c>
      <c r="H2" s="353"/>
      <c r="I2" s="353"/>
      <c r="K2" s="353" t="s">
        <v>259</v>
      </c>
      <c r="L2" s="353"/>
      <c r="M2" s="353"/>
      <c r="O2" s="353" t="s">
        <v>111</v>
      </c>
      <c r="P2" s="353"/>
      <c r="Q2" s="353"/>
      <c r="S2" s="353" t="s">
        <v>114</v>
      </c>
      <c r="T2" s="353"/>
      <c r="U2" s="353"/>
      <c r="W2" s="353" t="s">
        <v>604</v>
      </c>
      <c r="X2" s="353"/>
      <c r="Y2" s="353"/>
      <c r="AA2" s="353" t="s">
        <v>605</v>
      </c>
      <c r="AB2" s="353"/>
      <c r="AC2" s="353"/>
      <c r="AE2" s="353" t="s">
        <v>115</v>
      </c>
      <c r="AF2" s="353"/>
      <c r="AG2" s="353"/>
      <c r="AI2" s="353" t="s">
        <v>548</v>
      </c>
      <c r="AJ2" s="353"/>
      <c r="AK2" s="353"/>
      <c r="AM2" s="353" t="s">
        <v>547</v>
      </c>
      <c r="AN2" s="353"/>
      <c r="AO2" s="353"/>
      <c r="AQ2" s="353" t="s">
        <v>545</v>
      </c>
      <c r="AR2" s="353"/>
      <c r="AS2" s="353"/>
      <c r="AU2" s="353" t="s">
        <v>546</v>
      </c>
      <c r="AV2" s="353"/>
      <c r="AW2" s="353"/>
      <c r="AY2" s="353"/>
      <c r="AZ2" s="353"/>
      <c r="BA2" s="353"/>
      <c r="BC2" s="353"/>
      <c r="BD2" s="353"/>
      <c r="BE2" s="353"/>
      <c r="BG2" s="353"/>
      <c r="BH2" s="353"/>
      <c r="BI2" s="353"/>
      <c r="BK2" s="353"/>
      <c r="BL2" s="353"/>
      <c r="BM2" s="353"/>
    </row>
    <row r="3" spans="1:65" s="7" customFormat="1">
      <c r="A3" s="354" t="s">
        <v>116</v>
      </c>
      <c r="B3" s="7" t="s">
        <v>117</v>
      </c>
      <c r="C3" s="7">
        <v>0.5</v>
      </c>
      <c r="D3" s="7">
        <v>0.7</v>
      </c>
      <c r="E3" s="7">
        <v>1</v>
      </c>
      <c r="G3" s="7">
        <v>0.4</v>
      </c>
      <c r="H3" s="7">
        <v>0.7</v>
      </c>
      <c r="I3" s="7">
        <v>1</v>
      </c>
      <c r="K3" s="7">
        <v>0.3</v>
      </c>
      <c r="L3" s="7">
        <v>0.55000000000000004</v>
      </c>
      <c r="M3" s="7">
        <v>0.75</v>
      </c>
      <c r="O3" s="7">
        <v>0.5</v>
      </c>
      <c r="P3" s="7">
        <v>0.95</v>
      </c>
      <c r="Q3" s="7">
        <v>1.2</v>
      </c>
      <c r="S3" s="7">
        <v>0.4</v>
      </c>
      <c r="U3" s="7">
        <v>1</v>
      </c>
      <c r="W3" s="7">
        <v>0.4</v>
      </c>
      <c r="Y3" s="7">
        <v>1</v>
      </c>
      <c r="AA3" s="7">
        <v>0.4</v>
      </c>
      <c r="AC3" s="7">
        <v>1.2</v>
      </c>
      <c r="AE3" s="7">
        <v>0.4</v>
      </c>
      <c r="AG3" s="7">
        <v>1</v>
      </c>
      <c r="AI3" s="7">
        <v>0.4</v>
      </c>
      <c r="AK3" s="7">
        <v>1.2</v>
      </c>
      <c r="AM3" s="7">
        <v>0.4</v>
      </c>
      <c r="AN3" s="7">
        <v>0.65</v>
      </c>
      <c r="AO3" s="7">
        <v>0.9</v>
      </c>
      <c r="AQ3" s="7">
        <v>0.3</v>
      </c>
      <c r="AS3" s="7">
        <v>1</v>
      </c>
      <c r="AU3" s="7">
        <v>0.3</v>
      </c>
      <c r="AW3" s="7">
        <v>1</v>
      </c>
    </row>
    <row r="4" spans="1:65">
      <c r="A4" s="354"/>
      <c r="B4" t="s">
        <v>118</v>
      </c>
      <c r="D4">
        <v>51</v>
      </c>
      <c r="E4">
        <v>62</v>
      </c>
      <c r="H4">
        <v>51</v>
      </c>
      <c r="I4">
        <v>65</v>
      </c>
      <c r="P4">
        <v>25</v>
      </c>
      <c r="Q4">
        <v>35</v>
      </c>
      <c r="T4">
        <v>27</v>
      </c>
      <c r="U4">
        <v>35</v>
      </c>
      <c r="Y4">
        <v>35</v>
      </c>
      <c r="AB4">
        <v>32</v>
      </c>
      <c r="AC4">
        <v>42</v>
      </c>
      <c r="AF4">
        <v>28</v>
      </c>
      <c r="AG4">
        <v>34</v>
      </c>
      <c r="AJ4">
        <v>29</v>
      </c>
      <c r="AK4">
        <v>45</v>
      </c>
      <c r="AN4">
        <v>26</v>
      </c>
      <c r="AO4">
        <v>34</v>
      </c>
      <c r="AR4">
        <v>52</v>
      </c>
      <c r="AS4">
        <v>72</v>
      </c>
      <c r="AV4">
        <v>52</v>
      </c>
      <c r="AW4">
        <v>72</v>
      </c>
    </row>
    <row r="5" spans="1:65">
      <c r="A5" s="354"/>
      <c r="B5" t="s">
        <v>119</v>
      </c>
      <c r="D5">
        <v>58</v>
      </c>
      <c r="E5">
        <v>70</v>
      </c>
      <c r="H5">
        <v>58</v>
      </c>
      <c r="I5">
        <v>75</v>
      </c>
      <c r="L5">
        <v>41</v>
      </c>
      <c r="M5">
        <v>57</v>
      </c>
      <c r="P5">
        <v>34</v>
      </c>
      <c r="Q5">
        <v>48</v>
      </c>
      <c r="T5">
        <v>33</v>
      </c>
      <c r="U5">
        <v>43</v>
      </c>
      <c r="Y5">
        <v>43</v>
      </c>
      <c r="AB5">
        <v>40</v>
      </c>
      <c r="AC5">
        <v>60</v>
      </c>
      <c r="AF5">
        <v>32</v>
      </c>
      <c r="AG5">
        <v>40</v>
      </c>
      <c r="AJ5">
        <v>37</v>
      </c>
      <c r="AK5">
        <v>50</v>
      </c>
      <c r="AN5">
        <v>33</v>
      </c>
      <c r="AO5">
        <v>46</v>
      </c>
      <c r="AR5">
        <v>65</v>
      </c>
      <c r="AS5">
        <v>90</v>
      </c>
      <c r="AV5">
        <v>65</v>
      </c>
      <c r="AW5">
        <v>90</v>
      </c>
    </row>
    <row r="6" spans="1:65">
      <c r="A6" s="354"/>
      <c r="B6" t="s">
        <v>120</v>
      </c>
      <c r="D6">
        <v>68</v>
      </c>
      <c r="E6">
        <v>85</v>
      </c>
      <c r="H6">
        <v>68</v>
      </c>
      <c r="I6">
        <v>100</v>
      </c>
      <c r="L6">
        <v>57</v>
      </c>
      <c r="M6">
        <v>82</v>
      </c>
      <c r="P6">
        <v>65</v>
      </c>
      <c r="Q6">
        <v>91</v>
      </c>
      <c r="T6">
        <v>43</v>
      </c>
      <c r="U6">
        <v>56</v>
      </c>
      <c r="Y6">
        <v>56</v>
      </c>
      <c r="AB6">
        <v>50</v>
      </c>
      <c r="AC6">
        <v>91</v>
      </c>
      <c r="AF6">
        <v>38</v>
      </c>
      <c r="AG6">
        <v>50</v>
      </c>
      <c r="AJ6">
        <v>48</v>
      </c>
      <c r="AK6">
        <v>70</v>
      </c>
      <c r="AN6">
        <v>50</v>
      </c>
      <c r="AO6">
        <v>69</v>
      </c>
      <c r="AR6">
        <v>85</v>
      </c>
      <c r="AS6">
        <v>120</v>
      </c>
      <c r="AV6">
        <v>85</v>
      </c>
      <c r="AW6">
        <v>120</v>
      </c>
    </row>
    <row r="7" spans="1:65">
      <c r="A7" s="354"/>
      <c r="B7" t="s">
        <v>121</v>
      </c>
      <c r="AF7">
        <v>45</v>
      </c>
      <c r="AG7">
        <v>70</v>
      </c>
      <c r="AR7">
        <v>100</v>
      </c>
      <c r="AS7">
        <v>140</v>
      </c>
      <c r="AV7">
        <v>100</v>
      </c>
      <c r="AW7">
        <v>140</v>
      </c>
    </row>
    <row r="8" spans="1:65">
      <c r="A8" s="354"/>
      <c r="B8" t="s">
        <v>122</v>
      </c>
      <c r="C8">
        <v>205</v>
      </c>
      <c r="D8">
        <v>260</v>
      </c>
      <c r="E8">
        <v>320</v>
      </c>
      <c r="G8">
        <v>205</v>
      </c>
      <c r="H8">
        <v>260</v>
      </c>
      <c r="I8">
        <v>320</v>
      </c>
      <c r="L8">
        <v>370</v>
      </c>
      <c r="M8">
        <v>529</v>
      </c>
      <c r="P8">
        <v>434.7</v>
      </c>
      <c r="T8">
        <v>400</v>
      </c>
      <c r="U8">
        <v>530</v>
      </c>
      <c r="X8">
        <v>369</v>
      </c>
      <c r="AB8">
        <v>416</v>
      </c>
      <c r="AF8">
        <v>420</v>
      </c>
      <c r="AJ8">
        <v>510</v>
      </c>
      <c r="AN8">
        <v>660</v>
      </c>
      <c r="AR8">
        <v>260</v>
      </c>
      <c r="AV8">
        <v>260</v>
      </c>
    </row>
    <row r="9" spans="1:65">
      <c r="A9" s="354"/>
      <c r="B9" t="s">
        <v>727</v>
      </c>
      <c r="D9">
        <v>48</v>
      </c>
      <c r="G9">
        <v>33</v>
      </c>
      <c r="H9">
        <v>48</v>
      </c>
      <c r="I9">
        <v>63</v>
      </c>
      <c r="L9">
        <v>118</v>
      </c>
      <c r="M9">
        <v>169</v>
      </c>
      <c r="P9">
        <v>69.099999999999994</v>
      </c>
      <c r="T9">
        <v>70</v>
      </c>
      <c r="U9">
        <v>90</v>
      </c>
      <c r="X9">
        <v>54</v>
      </c>
      <c r="AB9">
        <v>44</v>
      </c>
      <c r="AF9">
        <v>100</v>
      </c>
      <c r="AJ9">
        <v>100</v>
      </c>
      <c r="AN9">
        <v>87</v>
      </c>
      <c r="AR9">
        <v>65</v>
      </c>
      <c r="AV9">
        <v>65</v>
      </c>
    </row>
    <row r="10" spans="1:65">
      <c r="A10" s="354"/>
      <c r="B10" t="s">
        <v>728</v>
      </c>
      <c r="D10">
        <v>27</v>
      </c>
      <c r="G10">
        <v>16</v>
      </c>
      <c r="H10">
        <v>27</v>
      </c>
      <c r="I10">
        <v>38</v>
      </c>
      <c r="L10">
        <v>20</v>
      </c>
      <c r="M10">
        <v>29</v>
      </c>
      <c r="P10">
        <v>61.2</v>
      </c>
      <c r="T10">
        <v>65</v>
      </c>
      <c r="U10">
        <v>100</v>
      </c>
      <c r="X10">
        <v>32</v>
      </c>
      <c r="AB10">
        <v>35</v>
      </c>
      <c r="AF10">
        <v>62</v>
      </c>
      <c r="AJ10">
        <v>50</v>
      </c>
      <c r="AN10">
        <v>74</v>
      </c>
      <c r="AR10">
        <v>35</v>
      </c>
      <c r="AV10">
        <v>35</v>
      </c>
    </row>
    <row r="11" spans="1:65">
      <c r="A11" s="354"/>
      <c r="B11" t="s">
        <v>123</v>
      </c>
      <c r="D11">
        <v>2.9</v>
      </c>
      <c r="E11">
        <v>3.8</v>
      </c>
      <c r="H11">
        <v>2.9</v>
      </c>
      <c r="I11">
        <v>3.8</v>
      </c>
      <c r="L11">
        <v>2.9</v>
      </c>
      <c r="P11">
        <v>5.4</v>
      </c>
      <c r="T11">
        <v>5.7</v>
      </c>
      <c r="X11">
        <v>3.6</v>
      </c>
      <c r="AB11">
        <v>4.7</v>
      </c>
      <c r="AF11">
        <v>5.6</v>
      </c>
      <c r="AG11">
        <v>8.5</v>
      </c>
      <c r="AJ11">
        <v>5.8</v>
      </c>
      <c r="AK11">
        <v>7.9</v>
      </c>
      <c r="AN11">
        <v>14.4</v>
      </c>
      <c r="AO11">
        <v>21.7</v>
      </c>
      <c r="AR11">
        <v>3.6</v>
      </c>
      <c r="AV11">
        <v>3.6</v>
      </c>
    </row>
    <row r="12" spans="1:65">
      <c r="A12" s="354"/>
      <c r="B12" t="s">
        <v>261</v>
      </c>
      <c r="L12">
        <v>1.7</v>
      </c>
    </row>
    <row r="13" spans="1:65">
      <c r="A13" s="39"/>
      <c r="B13" t="s">
        <v>541</v>
      </c>
      <c r="G13">
        <v>1.5</v>
      </c>
      <c r="H13">
        <v>3</v>
      </c>
      <c r="I13">
        <v>4.5</v>
      </c>
      <c r="T13">
        <v>1.9</v>
      </c>
      <c r="X13">
        <v>4.0999999999999996</v>
      </c>
      <c r="AB13">
        <v>2</v>
      </c>
      <c r="AE13">
        <v>0.7</v>
      </c>
      <c r="AF13">
        <v>3.5</v>
      </c>
      <c r="AG13">
        <v>7</v>
      </c>
    </row>
    <row r="14" spans="1:65">
      <c r="A14" s="39"/>
      <c r="B14" t="s">
        <v>543</v>
      </c>
      <c r="H14">
        <v>14</v>
      </c>
      <c r="I14">
        <v>19</v>
      </c>
      <c r="L14">
        <v>11</v>
      </c>
      <c r="X14">
        <v>6</v>
      </c>
      <c r="AB14">
        <v>8.3000000000000007</v>
      </c>
      <c r="AF14">
        <v>10</v>
      </c>
      <c r="AG14">
        <v>20</v>
      </c>
      <c r="AJ14">
        <v>13.5</v>
      </c>
    </row>
    <row r="15" spans="1:65">
      <c r="A15" s="39"/>
      <c r="B15" t="s">
        <v>542</v>
      </c>
      <c r="H15">
        <v>3.8</v>
      </c>
      <c r="L15">
        <v>3.3</v>
      </c>
      <c r="X15">
        <v>0.9</v>
      </c>
      <c r="AB15">
        <v>1.3</v>
      </c>
      <c r="AF15">
        <v>5</v>
      </c>
      <c r="AG15">
        <v>10</v>
      </c>
      <c r="AJ15">
        <v>7</v>
      </c>
    </row>
    <row r="16" spans="1:65">
      <c r="A16" s="39"/>
      <c r="B16" t="s">
        <v>552</v>
      </c>
      <c r="H16">
        <v>2.5</v>
      </c>
      <c r="L16">
        <v>7.5</v>
      </c>
      <c r="T16">
        <v>5</v>
      </c>
      <c r="U16">
        <v>10</v>
      </c>
      <c r="X16">
        <v>2.6</v>
      </c>
      <c r="AB16">
        <v>2.6</v>
      </c>
      <c r="AF16">
        <v>10</v>
      </c>
      <c r="AG16">
        <v>15</v>
      </c>
      <c r="AJ16">
        <v>7.2</v>
      </c>
      <c r="AN16">
        <v>4</v>
      </c>
      <c r="AR16">
        <v>9</v>
      </c>
      <c r="AV16">
        <v>9</v>
      </c>
    </row>
    <row r="17" spans="1:61">
      <c r="A17" s="39"/>
      <c r="B17" t="s">
        <v>553</v>
      </c>
      <c r="H17">
        <v>3.2</v>
      </c>
      <c r="L17">
        <v>9.9</v>
      </c>
      <c r="T17">
        <v>8</v>
      </c>
      <c r="U17">
        <v>16</v>
      </c>
      <c r="X17">
        <v>3</v>
      </c>
      <c r="AB17">
        <v>3.3</v>
      </c>
      <c r="AF17">
        <v>10</v>
      </c>
      <c r="AG17">
        <v>15</v>
      </c>
      <c r="AJ17">
        <v>15.9</v>
      </c>
      <c r="AN17">
        <v>15</v>
      </c>
      <c r="AR17">
        <v>17</v>
      </c>
      <c r="AV17">
        <v>17</v>
      </c>
    </row>
    <row r="18" spans="1:61">
      <c r="A18" s="39"/>
      <c r="B18" t="s">
        <v>550</v>
      </c>
      <c r="H18">
        <v>21</v>
      </c>
      <c r="L18">
        <v>12</v>
      </c>
      <c r="T18">
        <v>25</v>
      </c>
      <c r="U18">
        <v>40</v>
      </c>
      <c r="X18">
        <v>12.5</v>
      </c>
      <c r="AB18">
        <v>12.2</v>
      </c>
      <c r="AF18">
        <v>20</v>
      </c>
      <c r="AG18">
        <v>30</v>
      </c>
      <c r="AJ18">
        <v>15.7</v>
      </c>
      <c r="AN18">
        <v>40</v>
      </c>
      <c r="AR18">
        <v>28</v>
      </c>
      <c r="AV18">
        <v>28</v>
      </c>
    </row>
    <row r="19" spans="1:61">
      <c r="A19" s="39"/>
      <c r="B19" t="s">
        <v>551</v>
      </c>
      <c r="H19">
        <v>3</v>
      </c>
      <c r="L19">
        <v>3.7</v>
      </c>
      <c r="T19">
        <v>8</v>
      </c>
      <c r="U19">
        <v>16</v>
      </c>
      <c r="X19">
        <v>3.6</v>
      </c>
      <c r="AB19">
        <v>3.1</v>
      </c>
      <c r="AF19">
        <v>10</v>
      </c>
      <c r="AG19">
        <v>15</v>
      </c>
      <c r="AJ19">
        <v>4.5999999999999996</v>
      </c>
      <c r="AN19">
        <v>16</v>
      </c>
      <c r="AR19">
        <v>17</v>
      </c>
      <c r="AV19">
        <v>17</v>
      </c>
    </row>
    <row r="20" spans="1:61" s="3" customFormat="1">
      <c r="A20" s="203"/>
      <c r="B20" s="3" t="s">
        <v>733</v>
      </c>
      <c r="D20" s="3">
        <f>D8/D10</f>
        <v>9.6296296296296298</v>
      </c>
      <c r="G20" s="3">
        <f>G8/G10</f>
        <v>12.8125</v>
      </c>
      <c r="H20" s="3">
        <f>H8/H10</f>
        <v>9.6296296296296298</v>
      </c>
      <c r="I20" s="3">
        <f>I8/I10</f>
        <v>8.4210526315789469</v>
      </c>
      <c r="L20" s="3">
        <f>L8/L10</f>
        <v>18.5</v>
      </c>
      <c r="M20" s="3">
        <f>M8/M10</f>
        <v>18.241379310344829</v>
      </c>
      <c r="P20" s="3">
        <f>P8/P10</f>
        <v>7.1029411764705879</v>
      </c>
      <c r="T20" s="3">
        <f>T8/T10</f>
        <v>6.1538461538461542</v>
      </c>
      <c r="U20" s="3">
        <f>U8/U10</f>
        <v>5.3</v>
      </c>
      <c r="X20" s="3">
        <f>X8/X10</f>
        <v>11.53125</v>
      </c>
      <c r="AB20" s="3">
        <f>AB8/AB10</f>
        <v>11.885714285714286</v>
      </c>
      <c r="AF20" s="3">
        <f>AF8/AF10</f>
        <v>6.774193548387097</v>
      </c>
      <c r="AJ20" s="3">
        <f>AJ8/AJ10</f>
        <v>10.199999999999999</v>
      </c>
      <c r="AN20" s="3">
        <f>AN8/AN10</f>
        <v>8.9189189189189193</v>
      </c>
      <c r="AR20" s="3">
        <f>AR8/AR10</f>
        <v>7.4285714285714288</v>
      </c>
      <c r="AV20" s="3">
        <f>AV8/AV10</f>
        <v>7.4285714285714288</v>
      </c>
    </row>
    <row r="21" spans="1:61">
      <c r="A21" s="39"/>
    </row>
    <row r="22" spans="1:61">
      <c r="C22" s="353" t="s">
        <v>112</v>
      </c>
      <c r="D22" s="353"/>
      <c r="E22" s="353"/>
      <c r="K22" s="353" t="s">
        <v>113</v>
      </c>
      <c r="L22" s="353"/>
      <c r="M22" s="353"/>
      <c r="O22" s="353" t="s">
        <v>197</v>
      </c>
      <c r="P22" s="353"/>
      <c r="Q22" s="353"/>
      <c r="AY22" s="353" t="s">
        <v>730</v>
      </c>
      <c r="AZ22" s="353"/>
      <c r="BA22" s="353"/>
      <c r="BC22" s="353" t="s">
        <v>731</v>
      </c>
      <c r="BD22" s="353"/>
      <c r="BE22" s="353"/>
      <c r="BG22" s="353" t="s">
        <v>732</v>
      </c>
      <c r="BH22" s="353"/>
      <c r="BI22" s="353"/>
    </row>
    <row r="23" spans="1:61" s="7" customFormat="1">
      <c r="A23" s="354" t="s">
        <v>124</v>
      </c>
      <c r="B23" s="7" t="s">
        <v>117</v>
      </c>
      <c r="C23" s="7">
        <v>-0.5</v>
      </c>
      <c r="D23" s="7">
        <v>-0.65</v>
      </c>
      <c r="E23" s="7">
        <v>-1</v>
      </c>
      <c r="G23" s="7">
        <v>-0.4</v>
      </c>
      <c r="H23" s="7">
        <v>-0.65</v>
      </c>
      <c r="I23" s="7">
        <v>-1</v>
      </c>
      <c r="K23" s="7">
        <v>-0.3</v>
      </c>
      <c r="L23" s="7">
        <v>-0.56999999999999995</v>
      </c>
      <c r="M23" s="7">
        <v>-0.9</v>
      </c>
      <c r="O23" s="7">
        <v>-0.4</v>
      </c>
      <c r="P23" s="7">
        <v>-0.65</v>
      </c>
      <c r="Q23" s="7">
        <v>-1</v>
      </c>
      <c r="S23" s="7">
        <v>-0.4</v>
      </c>
      <c r="U23" s="7">
        <v>-1</v>
      </c>
      <c r="W23" s="7">
        <v>-0.45</v>
      </c>
      <c r="Y23" s="7">
        <v>-1</v>
      </c>
      <c r="AA23" s="7">
        <v>-0.4</v>
      </c>
      <c r="AC23" s="7">
        <v>-1</v>
      </c>
      <c r="AE23" s="7">
        <v>-0.4</v>
      </c>
      <c r="AG23" s="7">
        <v>-1</v>
      </c>
      <c r="AI23" s="7">
        <v>-0.4</v>
      </c>
      <c r="AK23" s="7">
        <v>-1.2</v>
      </c>
      <c r="AM23" s="7">
        <v>-0.47</v>
      </c>
      <c r="AN23" s="7">
        <v>-0.65</v>
      </c>
      <c r="AO23" s="7">
        <v>-0.9</v>
      </c>
      <c r="AQ23" s="7">
        <v>-0.3</v>
      </c>
      <c r="AS23" s="7">
        <v>-1</v>
      </c>
      <c r="AU23" s="7">
        <v>-0.3</v>
      </c>
      <c r="AW23" s="7">
        <v>1</v>
      </c>
      <c r="AY23" s="7">
        <v>-0.4</v>
      </c>
      <c r="AZ23" s="7">
        <v>-0.6</v>
      </c>
      <c r="BA23" s="7">
        <v>-0.9</v>
      </c>
      <c r="BC23" s="7">
        <v>-0.5</v>
      </c>
      <c r="BE23" s="7">
        <v>-0.9</v>
      </c>
      <c r="BG23" s="7">
        <v>-0.3</v>
      </c>
      <c r="BH23" s="7">
        <v>-0.55000000000000004</v>
      </c>
      <c r="BI23" s="7">
        <v>-1</v>
      </c>
    </row>
    <row r="24" spans="1:61">
      <c r="A24" s="354"/>
      <c r="B24" t="s">
        <v>118</v>
      </c>
      <c r="D24">
        <v>56</v>
      </c>
      <c r="E24">
        <v>70</v>
      </c>
      <c r="H24">
        <v>56</v>
      </c>
      <c r="I24">
        <v>75</v>
      </c>
      <c r="L24">
        <v>34</v>
      </c>
      <c r="M24">
        <v>41</v>
      </c>
      <c r="P24">
        <v>56</v>
      </c>
      <c r="Q24">
        <v>80</v>
      </c>
      <c r="T24">
        <v>57</v>
      </c>
      <c r="U24">
        <v>74</v>
      </c>
      <c r="Y24">
        <v>74</v>
      </c>
      <c r="AB24">
        <v>60</v>
      </c>
      <c r="AC24">
        <v>70</v>
      </c>
      <c r="AF24">
        <v>48</v>
      </c>
      <c r="AG24">
        <v>59</v>
      </c>
      <c r="AJ24">
        <v>64</v>
      </c>
      <c r="AK24">
        <v>80</v>
      </c>
      <c r="AN24">
        <v>55</v>
      </c>
      <c r="AO24">
        <v>70</v>
      </c>
      <c r="AR24">
        <v>49</v>
      </c>
      <c r="AS24">
        <v>68</v>
      </c>
      <c r="AV24">
        <v>80</v>
      </c>
      <c r="AW24">
        <v>105</v>
      </c>
      <c r="AZ24">
        <v>60</v>
      </c>
      <c r="BA24">
        <v>75</v>
      </c>
      <c r="BD24">
        <v>45</v>
      </c>
      <c r="BH24">
        <v>31</v>
      </c>
    </row>
    <row r="25" spans="1:61">
      <c r="A25" s="354"/>
      <c r="B25" t="s">
        <v>119</v>
      </c>
      <c r="D25">
        <v>70</v>
      </c>
      <c r="E25">
        <v>90</v>
      </c>
      <c r="H25">
        <v>70</v>
      </c>
      <c r="I25">
        <v>95</v>
      </c>
      <c r="L25">
        <v>42</v>
      </c>
      <c r="M25">
        <v>53</v>
      </c>
      <c r="P25">
        <v>70</v>
      </c>
      <c r="Q25">
        <v>100</v>
      </c>
      <c r="T25">
        <v>76</v>
      </c>
      <c r="U25">
        <v>110</v>
      </c>
      <c r="Y25">
        <v>110</v>
      </c>
      <c r="AB25">
        <v>73.5</v>
      </c>
      <c r="AC25">
        <v>100</v>
      </c>
      <c r="AF25">
        <v>66</v>
      </c>
      <c r="AG25">
        <v>81</v>
      </c>
      <c r="AJ25">
        <v>83</v>
      </c>
      <c r="AK25">
        <v>110</v>
      </c>
      <c r="AN25">
        <v>75</v>
      </c>
      <c r="AO25">
        <v>90</v>
      </c>
      <c r="AR25">
        <v>68</v>
      </c>
      <c r="AS25">
        <v>95</v>
      </c>
      <c r="AV25">
        <v>105</v>
      </c>
      <c r="AW25">
        <v>140</v>
      </c>
      <c r="AZ25">
        <v>73</v>
      </c>
      <c r="BA25">
        <v>96</v>
      </c>
      <c r="BD25">
        <v>60</v>
      </c>
      <c r="BH25">
        <v>40</v>
      </c>
    </row>
    <row r="26" spans="1:61">
      <c r="A26" s="354"/>
      <c r="B26" t="s">
        <v>120</v>
      </c>
      <c r="D26">
        <v>85</v>
      </c>
      <c r="E26">
        <v>110</v>
      </c>
      <c r="H26">
        <v>85</v>
      </c>
      <c r="I26">
        <v>115</v>
      </c>
      <c r="L26">
        <v>52</v>
      </c>
      <c r="M26">
        <v>65</v>
      </c>
      <c r="P26">
        <v>85</v>
      </c>
      <c r="Q26">
        <v>130</v>
      </c>
      <c r="T26">
        <v>102</v>
      </c>
      <c r="U26">
        <v>168</v>
      </c>
      <c r="Y26">
        <v>168</v>
      </c>
      <c r="AB26">
        <v>113</v>
      </c>
      <c r="AC26">
        <v>160</v>
      </c>
      <c r="AF26">
        <v>93</v>
      </c>
      <c r="AG26">
        <v>115</v>
      </c>
      <c r="AJ26">
        <v>105</v>
      </c>
      <c r="AK26">
        <v>150</v>
      </c>
      <c r="AN26">
        <v>110</v>
      </c>
      <c r="AO26">
        <v>135</v>
      </c>
      <c r="AR26">
        <v>100</v>
      </c>
      <c r="AS26">
        <v>150</v>
      </c>
      <c r="AV26">
        <v>150</v>
      </c>
      <c r="AW26">
        <v>225</v>
      </c>
      <c r="AZ26">
        <v>92</v>
      </c>
      <c r="BA26">
        <v>140</v>
      </c>
      <c r="BD26">
        <v>87</v>
      </c>
      <c r="BH26">
        <v>51</v>
      </c>
    </row>
    <row r="27" spans="1:61">
      <c r="A27" s="354"/>
      <c r="B27" t="s">
        <v>121</v>
      </c>
      <c r="D27">
        <v>100</v>
      </c>
      <c r="E27">
        <v>130</v>
      </c>
      <c r="L27">
        <v>61</v>
      </c>
      <c r="AF27">
        <v>120</v>
      </c>
      <c r="AG27">
        <v>215</v>
      </c>
      <c r="AR27">
        <v>140</v>
      </c>
      <c r="AS27">
        <v>280</v>
      </c>
      <c r="AV27">
        <v>180</v>
      </c>
      <c r="AW27">
        <v>360</v>
      </c>
    </row>
    <row r="28" spans="1:61">
      <c r="A28" s="354"/>
      <c r="B28" t="s">
        <v>125</v>
      </c>
      <c r="D28">
        <v>560</v>
      </c>
      <c r="E28">
        <v>745</v>
      </c>
      <c r="H28">
        <v>560</v>
      </c>
      <c r="I28">
        <v>745</v>
      </c>
      <c r="K28">
        <v>600</v>
      </c>
      <c r="L28">
        <v>751</v>
      </c>
      <c r="M28">
        <v>905</v>
      </c>
      <c r="P28">
        <v>560</v>
      </c>
      <c r="Q28">
        <v>745</v>
      </c>
      <c r="T28">
        <v>530</v>
      </c>
      <c r="U28">
        <v>705</v>
      </c>
      <c r="X28">
        <v>440</v>
      </c>
      <c r="AB28">
        <v>536</v>
      </c>
      <c r="AF28">
        <v>545</v>
      </c>
      <c r="AJ28">
        <v>650</v>
      </c>
      <c r="AN28">
        <v>785</v>
      </c>
      <c r="AR28">
        <v>1270</v>
      </c>
      <c r="AV28">
        <v>850</v>
      </c>
      <c r="AZ28">
        <v>627</v>
      </c>
      <c r="BD28">
        <v>727</v>
      </c>
      <c r="BH28">
        <v>294</v>
      </c>
    </row>
    <row r="29" spans="1:61">
      <c r="A29" s="354"/>
      <c r="B29" t="s">
        <v>727</v>
      </c>
      <c r="D29">
        <v>80</v>
      </c>
      <c r="H29">
        <v>80</v>
      </c>
      <c r="K29">
        <v>80</v>
      </c>
      <c r="L29">
        <v>115</v>
      </c>
      <c r="M29">
        <v>150</v>
      </c>
      <c r="P29" s="196">
        <v>80</v>
      </c>
      <c r="T29">
        <v>70</v>
      </c>
      <c r="U29">
        <v>95</v>
      </c>
      <c r="X29">
        <v>60</v>
      </c>
      <c r="AB29">
        <v>78</v>
      </c>
      <c r="AF29">
        <v>192</v>
      </c>
      <c r="AJ29">
        <v>100</v>
      </c>
      <c r="AN29">
        <v>63</v>
      </c>
      <c r="AR29">
        <v>100</v>
      </c>
      <c r="AV29">
        <v>60</v>
      </c>
      <c r="AZ29">
        <v>64</v>
      </c>
      <c r="BD29">
        <v>69</v>
      </c>
      <c r="BH29">
        <v>104</v>
      </c>
    </row>
    <row r="30" spans="1:61">
      <c r="A30" s="354"/>
      <c r="B30" t="s">
        <v>728</v>
      </c>
      <c r="D30">
        <v>70</v>
      </c>
      <c r="H30">
        <v>70</v>
      </c>
      <c r="K30">
        <v>48</v>
      </c>
      <c r="L30">
        <v>80</v>
      </c>
      <c r="M30">
        <v>115</v>
      </c>
      <c r="P30" s="196">
        <v>70</v>
      </c>
      <c r="T30">
        <v>60</v>
      </c>
      <c r="U30">
        <v>90</v>
      </c>
      <c r="X30">
        <v>48</v>
      </c>
      <c r="AB30">
        <v>69</v>
      </c>
      <c r="AF30">
        <v>175</v>
      </c>
      <c r="AJ30">
        <v>50</v>
      </c>
      <c r="AN30">
        <v>53</v>
      </c>
      <c r="AR30">
        <v>90</v>
      </c>
      <c r="AV30">
        <v>50</v>
      </c>
      <c r="AZ30">
        <v>53</v>
      </c>
      <c r="BD30">
        <v>64</v>
      </c>
      <c r="BH30">
        <v>25</v>
      </c>
    </row>
    <row r="31" spans="1:61">
      <c r="A31" s="354"/>
      <c r="B31" t="s">
        <v>126</v>
      </c>
      <c r="D31">
        <v>8.5</v>
      </c>
      <c r="E31">
        <v>11</v>
      </c>
      <c r="H31">
        <v>8.5</v>
      </c>
      <c r="I31">
        <v>11</v>
      </c>
      <c r="K31">
        <v>7.4</v>
      </c>
      <c r="L31">
        <v>9.3000000000000007</v>
      </c>
      <c r="M31">
        <v>11</v>
      </c>
      <c r="P31">
        <v>8.5</v>
      </c>
      <c r="Q31">
        <v>11</v>
      </c>
      <c r="T31">
        <v>7</v>
      </c>
      <c r="U31">
        <v>10</v>
      </c>
      <c r="X31">
        <v>5.9</v>
      </c>
      <c r="AB31">
        <v>6.5</v>
      </c>
      <c r="AF31">
        <v>7.8</v>
      </c>
      <c r="AG31">
        <v>12</v>
      </c>
      <c r="AJ31">
        <v>6.6</v>
      </c>
      <c r="AK31">
        <v>8.9</v>
      </c>
      <c r="AN31">
        <v>8.1</v>
      </c>
      <c r="AO31">
        <v>12.2</v>
      </c>
      <c r="AR31">
        <v>12</v>
      </c>
      <c r="AV31">
        <v>6.7</v>
      </c>
      <c r="AZ31">
        <v>6.5</v>
      </c>
      <c r="BD31">
        <v>7.6</v>
      </c>
      <c r="BH31">
        <v>9.1</v>
      </c>
    </row>
    <row r="32" spans="1:61">
      <c r="A32" s="354"/>
      <c r="B32" t="s">
        <v>541</v>
      </c>
      <c r="H32">
        <v>15</v>
      </c>
      <c r="I32">
        <v>23</v>
      </c>
      <c r="T32">
        <v>72</v>
      </c>
      <c r="X32">
        <v>8.5</v>
      </c>
      <c r="AB32">
        <v>32</v>
      </c>
      <c r="AE32">
        <v>1.4</v>
      </c>
      <c r="AF32">
        <v>7</v>
      </c>
      <c r="AG32">
        <v>14</v>
      </c>
      <c r="AI32" s="353" t="s">
        <v>549</v>
      </c>
      <c r="AJ32" s="353"/>
      <c r="AK32" s="353"/>
      <c r="AM32" s="353" t="s">
        <v>549</v>
      </c>
      <c r="AN32" s="353"/>
      <c r="AO32" s="353"/>
      <c r="AZ32">
        <v>44.9</v>
      </c>
      <c r="BD32">
        <v>23</v>
      </c>
      <c r="BH32">
        <v>250</v>
      </c>
    </row>
    <row r="33" spans="1:60">
      <c r="A33" s="354"/>
      <c r="B33" t="s">
        <v>544</v>
      </c>
      <c r="H33">
        <v>37</v>
      </c>
      <c r="I33">
        <v>49</v>
      </c>
      <c r="X33">
        <v>10.5</v>
      </c>
      <c r="AB33">
        <v>10.5</v>
      </c>
      <c r="AF33">
        <v>25</v>
      </c>
      <c r="AG33">
        <v>50</v>
      </c>
      <c r="AJ33">
        <v>12.6</v>
      </c>
    </row>
    <row r="34" spans="1:60">
      <c r="A34" s="354"/>
      <c r="B34" t="s">
        <v>542</v>
      </c>
      <c r="H34">
        <v>27</v>
      </c>
      <c r="X34">
        <v>3</v>
      </c>
      <c r="AB34">
        <v>2.6</v>
      </c>
      <c r="AF34">
        <v>10</v>
      </c>
      <c r="AG34">
        <v>20</v>
      </c>
      <c r="AJ34">
        <v>6</v>
      </c>
    </row>
    <row r="35" spans="1:60">
      <c r="A35" s="39"/>
      <c r="B35" t="s">
        <v>552</v>
      </c>
      <c r="H35">
        <v>7.2</v>
      </c>
      <c r="T35">
        <v>11</v>
      </c>
      <c r="U35">
        <v>20</v>
      </c>
      <c r="X35">
        <v>3.2</v>
      </c>
      <c r="AB35">
        <v>4.4000000000000004</v>
      </c>
      <c r="AF35">
        <v>15</v>
      </c>
      <c r="AG35">
        <v>25</v>
      </c>
      <c r="AJ35">
        <v>6.4</v>
      </c>
      <c r="AN35">
        <v>4</v>
      </c>
      <c r="AR35">
        <v>9</v>
      </c>
      <c r="AV35">
        <v>9</v>
      </c>
      <c r="AZ35">
        <v>12.5</v>
      </c>
      <c r="BD35">
        <v>14</v>
      </c>
      <c r="BH35">
        <v>71</v>
      </c>
    </row>
    <row r="36" spans="1:60">
      <c r="A36" s="39"/>
      <c r="B36" t="s">
        <v>553</v>
      </c>
      <c r="H36">
        <v>36</v>
      </c>
      <c r="T36">
        <v>12</v>
      </c>
      <c r="U36">
        <v>22</v>
      </c>
      <c r="X36">
        <v>7.8</v>
      </c>
      <c r="AB36">
        <v>15.5</v>
      </c>
      <c r="AF36">
        <v>15</v>
      </c>
      <c r="AG36">
        <v>25</v>
      </c>
      <c r="AJ36">
        <v>16.899999999999999</v>
      </c>
      <c r="AN36">
        <v>14</v>
      </c>
      <c r="AR36">
        <v>30</v>
      </c>
      <c r="AV36">
        <v>25</v>
      </c>
      <c r="AZ36">
        <v>10.3</v>
      </c>
      <c r="BD36">
        <v>13</v>
      </c>
      <c r="BH36">
        <v>117</v>
      </c>
    </row>
    <row r="37" spans="1:60">
      <c r="A37" s="39"/>
      <c r="B37" t="s">
        <v>550</v>
      </c>
      <c r="H37">
        <v>53</v>
      </c>
      <c r="T37">
        <v>21</v>
      </c>
      <c r="U37">
        <v>34</v>
      </c>
      <c r="X37">
        <v>31</v>
      </c>
      <c r="AB37">
        <v>38.5</v>
      </c>
      <c r="AF37">
        <v>25</v>
      </c>
      <c r="AG37">
        <v>40</v>
      </c>
      <c r="AJ37">
        <v>16.399999999999999</v>
      </c>
      <c r="AN37">
        <v>40</v>
      </c>
      <c r="AR37">
        <v>120</v>
      </c>
      <c r="AV37">
        <v>55</v>
      </c>
      <c r="AZ37">
        <v>46.5</v>
      </c>
      <c r="BD37">
        <v>53.8</v>
      </c>
      <c r="BH37">
        <v>795</v>
      </c>
    </row>
    <row r="38" spans="1:60">
      <c r="A38" s="39"/>
      <c r="B38" t="s">
        <v>551</v>
      </c>
      <c r="H38">
        <v>56</v>
      </c>
      <c r="T38">
        <v>13</v>
      </c>
      <c r="U38">
        <v>23</v>
      </c>
      <c r="X38">
        <v>18</v>
      </c>
      <c r="AB38">
        <v>22.2</v>
      </c>
      <c r="AF38">
        <v>10</v>
      </c>
      <c r="AG38">
        <v>15</v>
      </c>
      <c r="AJ38">
        <v>15</v>
      </c>
      <c r="AN38">
        <v>16</v>
      </c>
      <c r="AR38">
        <v>85</v>
      </c>
      <c r="AV38">
        <v>45</v>
      </c>
      <c r="AZ38">
        <v>22.2</v>
      </c>
      <c r="BD38">
        <v>23.2</v>
      </c>
      <c r="BH38">
        <v>393</v>
      </c>
    </row>
    <row r="39" spans="1:60" s="3" customFormat="1">
      <c r="A39" s="203"/>
      <c r="B39" s="3" t="s">
        <v>733</v>
      </c>
      <c r="D39" s="3">
        <f>D28/D30</f>
        <v>8</v>
      </c>
      <c r="H39" s="3">
        <f>H28/H30</f>
        <v>8</v>
      </c>
      <c r="K39" s="3">
        <f>K28/K30</f>
        <v>12.5</v>
      </c>
      <c r="L39" s="3">
        <f>L28/L30</f>
        <v>9.3874999999999993</v>
      </c>
      <c r="M39" s="3">
        <f>M28/M30</f>
        <v>7.8695652173913047</v>
      </c>
      <c r="P39" s="3">
        <f>P28/P30</f>
        <v>8</v>
      </c>
      <c r="T39" s="3">
        <f>T28/T30</f>
        <v>8.8333333333333339</v>
      </c>
      <c r="U39" s="3">
        <f>U28/U30</f>
        <v>7.833333333333333</v>
      </c>
      <c r="X39" s="3">
        <f>X28/X30</f>
        <v>9.1666666666666661</v>
      </c>
      <c r="AB39" s="3">
        <f>AB28/AB30</f>
        <v>7.7681159420289854</v>
      </c>
      <c r="AF39" s="3">
        <f>AF28/AF30</f>
        <v>3.1142857142857143</v>
      </c>
      <c r="AJ39" s="3">
        <f>AJ28/AJ30</f>
        <v>13</v>
      </c>
      <c r="AN39" s="3">
        <f>AN28/AN30</f>
        <v>14.811320754716981</v>
      </c>
      <c r="AR39" s="3">
        <f>AR28/AR30</f>
        <v>14.111111111111111</v>
      </c>
      <c r="AV39" s="3">
        <f>AV28/AV30</f>
        <v>17</v>
      </c>
      <c r="AZ39" s="3">
        <f>AZ28/AZ30</f>
        <v>11.830188679245284</v>
      </c>
      <c r="BD39" s="3">
        <f>BD28/BD30</f>
        <v>11.359375</v>
      </c>
      <c r="BH39" s="3">
        <f>BH28/BH30</f>
        <v>11.76</v>
      </c>
    </row>
    <row r="41" spans="1:60" s="3" customFormat="1">
      <c r="B41" s="3" t="s">
        <v>606</v>
      </c>
      <c r="D41" s="3">
        <f>D28/D8</f>
        <v>2.1538461538461537</v>
      </c>
      <c r="E41" s="3">
        <f>E28/E8</f>
        <v>2.328125</v>
      </c>
      <c r="H41" s="3">
        <f>H28/H8</f>
        <v>2.1538461538461537</v>
      </c>
      <c r="I41" s="3">
        <f>I28/I8</f>
        <v>2.328125</v>
      </c>
      <c r="L41" s="3">
        <f>L28/L8</f>
        <v>2.0297297297297296</v>
      </c>
      <c r="M41" s="3">
        <f>M28/M8</f>
        <v>1.7107750472589791</v>
      </c>
      <c r="P41" s="3">
        <f>P28/P8</f>
        <v>1.288244766505636</v>
      </c>
      <c r="T41" s="3">
        <f>T28/T8</f>
        <v>1.325</v>
      </c>
      <c r="U41" s="3">
        <f>U28/U8</f>
        <v>1.3301886792452831</v>
      </c>
      <c r="X41" s="3">
        <f>X28/X8</f>
        <v>1.1924119241192412</v>
      </c>
      <c r="AB41" s="3">
        <f>AB28/AB8</f>
        <v>1.2884615384615385</v>
      </c>
      <c r="AF41" s="3">
        <f>AF28/AF8</f>
        <v>1.2976190476190477</v>
      </c>
      <c r="AJ41" s="3">
        <f>AJ28/AJ8</f>
        <v>1.2745098039215685</v>
      </c>
      <c r="AN41" s="3">
        <f>AN28/AN8</f>
        <v>1.1893939393939394</v>
      </c>
      <c r="AR41" s="3">
        <f>AR28/AR8</f>
        <v>4.884615384615385</v>
      </c>
      <c r="AV41" s="3">
        <f>AV28/AV8</f>
        <v>3.2692307692307692</v>
      </c>
    </row>
    <row r="42" spans="1:60" s="3" customFormat="1">
      <c r="B42" s="3" t="s">
        <v>607</v>
      </c>
      <c r="D42" s="3">
        <f>D31/D11</f>
        <v>2.931034482758621</v>
      </c>
      <c r="H42" s="3">
        <f>H31/H11</f>
        <v>2.931034482758621</v>
      </c>
      <c r="I42" s="3">
        <f>I31/I11</f>
        <v>2.8947368421052633</v>
      </c>
      <c r="L42" s="3">
        <f>L31/L11</f>
        <v>3.2068965517241383</v>
      </c>
      <c r="P42" s="3">
        <f>P31/P11</f>
        <v>1.574074074074074</v>
      </c>
      <c r="T42" s="3">
        <f>T31/T11</f>
        <v>1.2280701754385965</v>
      </c>
      <c r="X42" s="3">
        <f>X31/X11</f>
        <v>1.6388888888888888</v>
      </c>
      <c r="AB42" s="3">
        <f>AB31/AB11</f>
        <v>1.3829787234042552</v>
      </c>
      <c r="AF42" s="3">
        <f>AF31/AF11</f>
        <v>1.392857142857143</v>
      </c>
      <c r="AG42" s="3">
        <f>AG31/AG11</f>
        <v>1.411764705882353</v>
      </c>
      <c r="AJ42" s="3">
        <f>AJ31/AJ11</f>
        <v>1.1379310344827587</v>
      </c>
      <c r="AK42" s="3">
        <f>AK31/AK11</f>
        <v>1.1265822784810127</v>
      </c>
      <c r="AN42" s="3">
        <f>AN31/AN11</f>
        <v>0.5625</v>
      </c>
      <c r="AO42" s="3">
        <f>AO31/AO11</f>
        <v>0.56221198156682028</v>
      </c>
      <c r="AR42" s="3">
        <f>AR31/AR11</f>
        <v>3.333333333333333</v>
      </c>
      <c r="AV42" s="3">
        <f>AV31/AV11</f>
        <v>1.8611111111111112</v>
      </c>
    </row>
    <row r="44" spans="1:60">
      <c r="B44" t="s">
        <v>192</v>
      </c>
      <c r="C44" s="353" t="s">
        <v>190</v>
      </c>
      <c r="D44" s="353"/>
      <c r="E44" s="353"/>
    </row>
    <row r="45" spans="1:60">
      <c r="C45" s="353" t="s">
        <v>191</v>
      </c>
      <c r="D45" s="353"/>
      <c r="E45" s="353"/>
    </row>
  </sheetData>
  <mergeCells count="29">
    <mergeCell ref="BG22:BI22"/>
    <mergeCell ref="AI32:AK32"/>
    <mergeCell ref="AM32:AO32"/>
    <mergeCell ref="AQ2:AS2"/>
    <mergeCell ref="AU2:AW2"/>
    <mergeCell ref="AM2:AO2"/>
    <mergeCell ref="AI2:AK2"/>
    <mergeCell ref="BK2:BM2"/>
    <mergeCell ref="BG2:BI2"/>
    <mergeCell ref="K2:M2"/>
    <mergeCell ref="W2:Y2"/>
    <mergeCell ref="AA2:AC2"/>
    <mergeCell ref="S2:U2"/>
    <mergeCell ref="C45:E45"/>
    <mergeCell ref="A23:A34"/>
    <mergeCell ref="G2:I2"/>
    <mergeCell ref="O2:Q2"/>
    <mergeCell ref="K22:M22"/>
    <mergeCell ref="C44:E44"/>
    <mergeCell ref="C2:E2"/>
    <mergeCell ref="A3:A12"/>
    <mergeCell ref="O22:Q22"/>
    <mergeCell ref="C1:E1"/>
    <mergeCell ref="BC2:BE2"/>
    <mergeCell ref="AY2:BA2"/>
    <mergeCell ref="AY22:BA22"/>
    <mergeCell ref="BC22:BE22"/>
    <mergeCell ref="C22:E22"/>
    <mergeCell ref="AE2:AG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HR16"/>
  <sheetViews>
    <sheetView zoomScale="150" zoomScaleNormal="150" zoomScalePageLayoutView="150" workbookViewId="0"/>
  </sheetViews>
  <sheetFormatPr defaultColWidth="1" defaultRowHeight="19.95" customHeight="1"/>
  <cols>
    <col min="1" max="1" width="14.296875" bestFit="1" customWidth="1"/>
    <col min="2" max="261" width="1.296875" customWidth="1"/>
  </cols>
  <sheetData>
    <row r="7" spans="1:226" ht="19.95" customHeight="1">
      <c r="A7" t="s">
        <v>435</v>
      </c>
      <c r="R7" s="357" t="s">
        <v>436</v>
      </c>
      <c r="S7" s="353"/>
      <c r="T7" s="353"/>
      <c r="U7" s="353"/>
      <c r="V7" s="353"/>
      <c r="W7" s="353"/>
      <c r="X7" s="353"/>
      <c r="Y7" s="353"/>
      <c r="Z7" s="353"/>
      <c r="AA7" s="353"/>
      <c r="AB7" s="358"/>
      <c r="AC7" s="357" t="s">
        <v>438</v>
      </c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353"/>
      <c r="AO7" s="353"/>
      <c r="AP7" s="353"/>
      <c r="AQ7" s="353"/>
      <c r="AR7" s="358"/>
      <c r="AS7" s="357" t="s">
        <v>184</v>
      </c>
      <c r="AT7" s="353"/>
      <c r="AU7" s="353"/>
      <c r="AV7" s="353"/>
      <c r="AW7" s="353"/>
      <c r="AX7" s="353"/>
      <c r="AY7" s="353"/>
      <c r="AZ7" s="353"/>
      <c r="BA7" s="353"/>
      <c r="BB7" s="353"/>
      <c r="BC7" s="353"/>
      <c r="BD7" s="353"/>
      <c r="BE7" s="353"/>
      <c r="BF7" s="353"/>
      <c r="BG7" s="353"/>
      <c r="BH7" s="358"/>
      <c r="BI7" s="357" t="s">
        <v>184</v>
      </c>
      <c r="BJ7" s="353"/>
      <c r="BK7" s="353"/>
      <c r="BL7" s="353"/>
      <c r="BM7" s="353"/>
      <c r="BN7" s="353"/>
      <c r="BO7" s="353"/>
      <c r="BP7" s="353"/>
      <c r="BQ7" s="353"/>
      <c r="BR7" s="353"/>
      <c r="BS7" s="353"/>
      <c r="BT7" s="353"/>
      <c r="BU7" s="353"/>
      <c r="BV7" s="353"/>
      <c r="BW7" s="353"/>
      <c r="BX7" s="358"/>
      <c r="BY7" s="357" t="s">
        <v>172</v>
      </c>
      <c r="BZ7" s="353"/>
      <c r="CA7" s="353"/>
      <c r="CB7" s="353"/>
      <c r="CC7" s="353"/>
      <c r="CD7" s="353"/>
      <c r="CE7" s="353"/>
      <c r="CF7" s="353"/>
      <c r="CG7" s="353"/>
      <c r="CH7" s="353"/>
      <c r="CI7" s="353"/>
      <c r="CJ7" s="353"/>
      <c r="CK7" s="353"/>
      <c r="CL7" s="353"/>
      <c r="CM7" s="353"/>
      <c r="CN7" s="358"/>
      <c r="CO7" s="357" t="s">
        <v>173</v>
      </c>
      <c r="CP7" s="353"/>
      <c r="CQ7" s="353"/>
      <c r="CR7" s="353"/>
      <c r="CS7" s="353"/>
      <c r="CT7" s="353"/>
      <c r="CU7" s="353"/>
      <c r="CV7" s="353"/>
      <c r="CW7" s="353"/>
      <c r="CX7" s="353"/>
      <c r="CY7" s="353"/>
      <c r="CZ7" s="353"/>
      <c r="DA7" s="353"/>
      <c r="DB7" s="353"/>
      <c r="DC7" s="353"/>
      <c r="DD7" s="358"/>
      <c r="DE7" s="353" t="s">
        <v>174</v>
      </c>
      <c r="DF7" s="353"/>
      <c r="DG7" s="353"/>
      <c r="DH7" s="353"/>
      <c r="DI7" s="353"/>
      <c r="DJ7" s="353"/>
      <c r="DK7" s="353"/>
      <c r="DL7" s="353"/>
      <c r="DM7" s="353"/>
      <c r="DN7" s="353"/>
      <c r="DO7" s="353"/>
      <c r="DP7" s="353"/>
      <c r="DQ7" s="353"/>
      <c r="DR7" s="353"/>
      <c r="DS7" s="353"/>
      <c r="DT7" s="358"/>
      <c r="DU7" s="353"/>
      <c r="DV7" s="353"/>
      <c r="DW7" s="353"/>
      <c r="DX7" s="353"/>
      <c r="DY7" s="353"/>
      <c r="DZ7" s="353"/>
      <c r="EA7" s="353"/>
      <c r="EB7" s="353"/>
      <c r="EC7" s="353"/>
      <c r="ED7" s="353"/>
      <c r="EE7" s="353"/>
      <c r="EF7" s="353"/>
      <c r="EG7" s="353"/>
      <c r="EH7" s="353"/>
      <c r="EI7" s="353"/>
      <c r="EJ7" s="353"/>
    </row>
    <row r="8" spans="1:226" ht="19.95" customHeight="1">
      <c r="A8" t="s">
        <v>434</v>
      </c>
      <c r="C8" s="353" t="s">
        <v>437</v>
      </c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5"/>
      <c r="S8" s="356" t="s">
        <v>168</v>
      </c>
      <c r="T8" s="353"/>
      <c r="U8" s="353"/>
      <c r="V8" s="353"/>
      <c r="W8" s="353"/>
      <c r="X8" s="353"/>
      <c r="Y8" s="353"/>
      <c r="Z8" s="353"/>
      <c r="AA8" s="353"/>
      <c r="AB8" s="353"/>
      <c r="AC8" s="353"/>
      <c r="AD8" s="353"/>
      <c r="AE8" s="353"/>
      <c r="AF8" s="353"/>
      <c r="AG8" s="353"/>
      <c r="AH8" s="355"/>
      <c r="AI8" s="356" t="s">
        <v>168</v>
      </c>
      <c r="AJ8" s="353"/>
      <c r="AK8" s="353"/>
      <c r="AL8" s="353"/>
      <c r="AM8" s="353"/>
      <c r="AN8" s="353"/>
      <c r="AO8" s="353"/>
      <c r="AP8" s="353"/>
      <c r="AQ8" s="353"/>
      <c r="AR8" s="353"/>
      <c r="AS8" s="353"/>
      <c r="AT8" s="353"/>
      <c r="AU8" s="353"/>
      <c r="AV8" s="353"/>
      <c r="AW8" s="353"/>
      <c r="AX8" s="355"/>
      <c r="AY8" s="356" t="s">
        <v>168</v>
      </c>
      <c r="AZ8" s="353"/>
      <c r="BA8" s="353"/>
      <c r="BB8" s="353"/>
      <c r="BC8" s="353"/>
      <c r="BD8" s="353"/>
      <c r="BE8" s="353"/>
      <c r="BF8" s="353"/>
      <c r="BG8" s="353"/>
      <c r="BH8" s="353"/>
      <c r="BI8" s="353"/>
      <c r="BJ8" s="353"/>
      <c r="BK8" s="353"/>
      <c r="BL8" s="353"/>
      <c r="BM8" s="353"/>
      <c r="BN8" s="355"/>
      <c r="BO8" s="356" t="s">
        <v>168</v>
      </c>
      <c r="BP8" s="353"/>
      <c r="BQ8" s="353"/>
      <c r="BR8" s="353"/>
      <c r="BS8" s="353"/>
      <c r="BT8" s="353"/>
      <c r="BU8" s="353"/>
      <c r="BV8" s="353"/>
      <c r="BW8" s="353"/>
      <c r="BX8" s="353"/>
      <c r="BY8" s="353"/>
      <c r="BZ8" s="353"/>
      <c r="CA8" s="353"/>
      <c r="CB8" s="353"/>
      <c r="CC8" s="353"/>
      <c r="CD8" s="355"/>
      <c r="CE8" s="356" t="s">
        <v>168</v>
      </c>
      <c r="CF8" s="353"/>
      <c r="CG8" s="353"/>
      <c r="CH8" s="353"/>
      <c r="CI8" s="353"/>
      <c r="CJ8" s="353"/>
      <c r="CK8" s="353"/>
      <c r="CL8" s="353"/>
      <c r="CM8" s="353"/>
      <c r="CN8" s="353"/>
      <c r="CO8" s="353"/>
      <c r="CP8" s="353"/>
      <c r="CQ8" s="353"/>
      <c r="CR8" s="353"/>
      <c r="CS8" s="353"/>
      <c r="CT8" s="355"/>
      <c r="CU8" s="61"/>
    </row>
    <row r="9" spans="1:226" ht="19.95" customHeight="1">
      <c r="A9" t="s">
        <v>127</v>
      </c>
      <c r="M9" s="62"/>
      <c r="N9" s="62"/>
      <c r="O9" s="62"/>
      <c r="P9" s="62"/>
      <c r="Q9" s="65"/>
      <c r="AC9" s="62"/>
      <c r="AD9" s="62"/>
      <c r="AE9" s="62"/>
      <c r="AF9" s="62"/>
      <c r="AG9" s="65"/>
      <c r="AS9" s="62"/>
      <c r="AT9" s="62"/>
      <c r="AU9" s="62"/>
      <c r="AV9" s="62"/>
      <c r="AW9" s="65"/>
      <c r="BI9" s="62"/>
      <c r="BJ9" s="62"/>
      <c r="BK9" s="62"/>
      <c r="BL9" s="62"/>
      <c r="BM9" s="65"/>
      <c r="BY9" s="62"/>
      <c r="BZ9" s="62"/>
      <c r="CA9" s="62"/>
      <c r="CB9" s="62"/>
      <c r="CC9" s="65"/>
      <c r="CO9" s="62"/>
      <c r="CP9" s="62"/>
      <c r="CQ9" s="62"/>
      <c r="CR9" s="62"/>
      <c r="CS9" s="65"/>
      <c r="HA9" s="43"/>
    </row>
    <row r="10" spans="1:226" ht="19.95" customHeight="1">
      <c r="A10" t="s">
        <v>169</v>
      </c>
      <c r="AB10" s="43"/>
      <c r="AC10" s="356" t="s">
        <v>437</v>
      </c>
      <c r="AD10" s="353"/>
      <c r="AE10" s="353"/>
      <c r="AF10" s="353"/>
      <c r="AG10" s="353"/>
      <c r="AH10" s="353"/>
      <c r="AI10" s="353"/>
      <c r="AJ10" s="353"/>
      <c r="AK10" s="353"/>
      <c r="AL10" s="353"/>
      <c r="AM10" s="353"/>
      <c r="AN10" s="353"/>
      <c r="AO10" s="353"/>
      <c r="AP10" s="353"/>
      <c r="AQ10" s="353"/>
      <c r="AR10" s="355"/>
      <c r="AS10" s="356" t="s">
        <v>175</v>
      </c>
      <c r="AT10" s="353"/>
      <c r="AU10" s="353"/>
      <c r="AV10" s="353"/>
      <c r="AW10" s="353"/>
      <c r="AX10" s="353"/>
      <c r="AY10" s="353"/>
      <c r="AZ10" s="353"/>
      <c r="BA10" s="353"/>
      <c r="BB10" s="353"/>
      <c r="BC10" s="353"/>
      <c r="BD10" s="353"/>
      <c r="BE10" s="353"/>
      <c r="BF10" s="353"/>
      <c r="BG10" s="353"/>
      <c r="BH10" s="355"/>
      <c r="BI10" s="356" t="s">
        <v>179</v>
      </c>
      <c r="BJ10" s="353"/>
      <c r="BK10" s="353"/>
      <c r="BL10" s="353"/>
      <c r="BM10" s="353"/>
      <c r="BN10" s="353"/>
      <c r="BO10" s="353"/>
      <c r="BP10" s="353"/>
      <c r="BQ10" s="353"/>
      <c r="BR10" s="353"/>
      <c r="BS10" s="353"/>
      <c r="BT10" s="353"/>
      <c r="BU10" s="353"/>
      <c r="BV10" s="353"/>
      <c r="BW10" s="353"/>
      <c r="BX10" s="355"/>
      <c r="BY10" s="356" t="s">
        <v>178</v>
      </c>
      <c r="BZ10" s="353"/>
      <c r="CA10" s="353"/>
      <c r="CB10" s="353"/>
      <c r="CC10" s="353"/>
      <c r="CD10" s="353"/>
      <c r="CE10" s="353"/>
      <c r="CF10" s="353"/>
      <c r="CG10" s="353"/>
      <c r="CH10" s="353"/>
      <c r="CI10" s="353"/>
      <c r="CJ10" s="353"/>
      <c r="CK10" s="353"/>
      <c r="CL10" s="353"/>
      <c r="CM10" s="353"/>
      <c r="CN10" s="355"/>
      <c r="CO10" s="356" t="s">
        <v>177</v>
      </c>
      <c r="CP10" s="353"/>
      <c r="CQ10" s="353"/>
      <c r="CR10" s="353"/>
      <c r="CS10" s="353"/>
      <c r="CT10" s="353"/>
      <c r="CU10" s="353"/>
      <c r="CV10" s="353"/>
      <c r="CW10" s="353"/>
      <c r="CX10" s="353"/>
      <c r="CY10" s="353"/>
      <c r="CZ10" s="353"/>
      <c r="DA10" s="353"/>
      <c r="DB10" s="353"/>
      <c r="DC10" s="353"/>
      <c r="DD10" s="355"/>
      <c r="DE10" s="356" t="s">
        <v>176</v>
      </c>
      <c r="DF10" s="353"/>
      <c r="DG10" s="353"/>
      <c r="DH10" s="353"/>
      <c r="DI10" s="353"/>
      <c r="DJ10" s="353"/>
      <c r="DK10" s="353"/>
      <c r="DL10" s="353"/>
      <c r="DM10" s="353"/>
      <c r="DN10" s="353"/>
      <c r="DO10" s="353"/>
      <c r="DP10" s="353"/>
      <c r="DQ10" s="353"/>
      <c r="DR10" s="353"/>
      <c r="DS10" s="353"/>
      <c r="DT10" s="355"/>
      <c r="DU10" s="61"/>
      <c r="HL10" s="43"/>
      <c r="HM10" s="356" t="s">
        <v>182</v>
      </c>
      <c r="HN10" s="353"/>
      <c r="HO10" s="353"/>
      <c r="HP10" s="353"/>
      <c r="HQ10" s="353"/>
      <c r="HR10" s="353"/>
    </row>
    <row r="11" spans="1:226" ht="19.95" customHeight="1">
      <c r="A11" t="s">
        <v>170</v>
      </c>
      <c r="B11" s="38"/>
      <c r="C11" s="38"/>
      <c r="D11" s="38"/>
      <c r="E11" s="38"/>
      <c r="F11" s="38"/>
      <c r="G11" s="38"/>
      <c r="H11" s="38"/>
      <c r="I11" s="38"/>
      <c r="J11" s="353" t="s">
        <v>171</v>
      </c>
      <c r="K11" s="353"/>
      <c r="L11" s="353"/>
      <c r="M11" s="353"/>
      <c r="N11" s="353"/>
      <c r="O11" s="353"/>
      <c r="P11" s="353"/>
      <c r="Q11" s="353"/>
      <c r="R11" s="353"/>
      <c r="S11" s="353"/>
      <c r="T11" s="353"/>
      <c r="U11" s="355"/>
      <c r="V11" s="356" t="s">
        <v>180</v>
      </c>
      <c r="W11" s="353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353"/>
      <c r="AJ11" s="353"/>
      <c r="AK11" s="353"/>
      <c r="AL11" s="353"/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3"/>
      <c r="AX11" s="353"/>
      <c r="AY11" s="353"/>
      <c r="AZ11" s="353"/>
      <c r="BA11" s="353"/>
      <c r="BB11" s="353"/>
      <c r="BC11" s="353"/>
      <c r="BD11" s="353"/>
      <c r="BE11" s="353"/>
      <c r="BF11" s="353"/>
      <c r="BG11" s="353"/>
      <c r="BH11" s="353"/>
      <c r="BI11" s="353"/>
      <c r="BJ11" s="353"/>
      <c r="BK11" s="353"/>
      <c r="BL11" s="353"/>
      <c r="BM11" s="353"/>
      <c r="BN11" s="353"/>
      <c r="BO11" s="353"/>
      <c r="BP11" s="353"/>
      <c r="BQ11" s="353"/>
      <c r="BR11" s="353"/>
      <c r="BS11" s="353"/>
      <c r="BT11" s="353"/>
      <c r="BU11" s="353"/>
      <c r="BV11" s="353"/>
      <c r="BW11" s="353"/>
      <c r="BX11" s="353"/>
      <c r="BY11" s="353"/>
      <c r="BZ11" s="353"/>
      <c r="CA11" s="353"/>
      <c r="CB11" s="353"/>
      <c r="CC11" s="353"/>
      <c r="CD11" s="353"/>
      <c r="CE11" s="353"/>
      <c r="CF11" s="353"/>
      <c r="CG11" s="353"/>
      <c r="CH11" s="353"/>
      <c r="CI11" s="353"/>
      <c r="CJ11" s="353"/>
      <c r="CK11" s="353"/>
      <c r="CL11" s="353"/>
      <c r="CM11" s="353"/>
      <c r="CN11" s="353"/>
      <c r="CO11" s="353"/>
      <c r="CP11" s="353"/>
      <c r="CQ11" s="353"/>
      <c r="CR11" s="353"/>
      <c r="CS11" s="353"/>
      <c r="CT11" s="355"/>
      <c r="CU11" s="356" t="s">
        <v>181</v>
      </c>
      <c r="CV11" s="353"/>
      <c r="CW11" s="353"/>
      <c r="CX11" s="353"/>
      <c r="CY11" s="353"/>
      <c r="CZ11" s="353"/>
      <c r="DA11" s="353"/>
      <c r="DB11" s="353"/>
      <c r="DC11" s="353"/>
      <c r="DD11" s="353"/>
      <c r="DE11" s="353"/>
      <c r="DF11" s="353"/>
      <c r="DG11" s="353"/>
      <c r="DH11" s="353"/>
      <c r="DI11" s="353"/>
      <c r="DJ11" s="353"/>
      <c r="DK11" s="353"/>
      <c r="DL11" s="353"/>
      <c r="DM11" s="353"/>
      <c r="DN11" s="353"/>
      <c r="DO11" s="353"/>
      <c r="DP11" s="353"/>
      <c r="DQ11" s="353"/>
      <c r="DR11" s="353"/>
      <c r="DS11" s="353"/>
      <c r="DT11" s="353"/>
      <c r="DU11" s="353"/>
      <c r="DV11" s="353"/>
      <c r="DW11" s="353"/>
      <c r="DX11" s="353"/>
      <c r="DY11" s="353"/>
      <c r="DZ11" s="353"/>
      <c r="EA11" s="353"/>
      <c r="EB11" s="353"/>
      <c r="EC11" s="353"/>
      <c r="ED11" s="353"/>
      <c r="FH11" s="43"/>
      <c r="FI11" s="356" t="s">
        <v>183</v>
      </c>
      <c r="FJ11" s="353"/>
      <c r="FK11" s="353"/>
      <c r="FL11" s="353"/>
      <c r="FM11" s="353"/>
      <c r="FN11" s="353"/>
      <c r="FO11" s="353"/>
      <c r="FP11" s="353"/>
      <c r="FQ11" s="353"/>
      <c r="FR11" s="353"/>
      <c r="FS11" s="353"/>
      <c r="FT11" s="353"/>
      <c r="FU11" s="353"/>
      <c r="FV11" s="353"/>
      <c r="FW11" s="353"/>
      <c r="FX11" s="353"/>
      <c r="FY11" s="353"/>
      <c r="FZ11" s="353"/>
      <c r="GA11" s="353"/>
      <c r="GB11" s="353"/>
      <c r="GC11" s="353"/>
      <c r="GD11" s="353"/>
      <c r="GE11" s="353"/>
      <c r="GF11" s="353"/>
      <c r="GG11" s="353"/>
      <c r="GH11" s="353"/>
      <c r="GI11" s="353"/>
      <c r="GJ11" s="353"/>
      <c r="GK11" s="353"/>
      <c r="GL11" s="353"/>
      <c r="GM11" s="353"/>
      <c r="GN11" s="353"/>
      <c r="GO11" s="353"/>
      <c r="GP11" s="353"/>
      <c r="GQ11" s="353"/>
      <c r="GR11" s="353"/>
      <c r="GS11" s="353"/>
      <c r="GT11" s="353"/>
      <c r="GU11" s="353"/>
      <c r="GV11" s="353"/>
      <c r="GW11" s="353"/>
      <c r="GX11" s="353"/>
      <c r="GY11" s="353"/>
      <c r="GZ11" s="353"/>
      <c r="HA11" s="353"/>
      <c r="HB11" s="353"/>
      <c r="HC11" s="353"/>
      <c r="HD11" s="353"/>
      <c r="HE11" s="356" t="s">
        <v>171</v>
      </c>
      <c r="HF11" s="353"/>
      <c r="HG11" s="353"/>
      <c r="HH11" s="353"/>
      <c r="HI11" s="353"/>
      <c r="HJ11" s="353"/>
      <c r="HK11" s="353"/>
      <c r="HL11" s="353"/>
      <c r="HM11" s="353"/>
      <c r="HN11" s="353"/>
      <c r="HO11" s="353"/>
      <c r="HP11" s="353"/>
      <c r="HQ11" s="353"/>
      <c r="HR11" s="353"/>
    </row>
    <row r="12" spans="1:226" ht="19.95" customHeight="1">
      <c r="A12" t="s">
        <v>432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43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43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43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43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</row>
    <row r="13" spans="1:226" ht="19.95" customHeight="1">
      <c r="A13" t="s">
        <v>433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66"/>
      <c r="AF13" s="66"/>
      <c r="AG13" s="66"/>
      <c r="AH13" s="66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66"/>
      <c r="AV13" s="66"/>
      <c r="AW13" s="66"/>
      <c r="AX13" s="66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</row>
    <row r="15" spans="1:226" ht="19.95" customHeight="1">
      <c r="A15" t="s">
        <v>128</v>
      </c>
      <c r="CS15" s="43"/>
      <c r="DU15" s="43"/>
      <c r="FJ15" s="43"/>
    </row>
    <row r="16" spans="1:226" ht="19.95" customHeight="1">
      <c r="A16" t="s">
        <v>185</v>
      </c>
      <c r="B16" s="38"/>
      <c r="C16" s="38"/>
      <c r="D16" s="38"/>
      <c r="E16" s="38"/>
      <c r="F16" s="38"/>
      <c r="G16" s="38"/>
      <c r="H16" s="38"/>
      <c r="I16" s="353" t="s">
        <v>186</v>
      </c>
      <c r="J16" s="353"/>
      <c r="K16" s="353"/>
      <c r="L16" s="353"/>
      <c r="M16" s="353"/>
      <c r="N16" s="353"/>
      <c r="O16" s="353"/>
      <c r="P16" s="353"/>
      <c r="Q16" s="353"/>
      <c r="R16" s="353"/>
      <c r="S16" s="353"/>
      <c r="T16" s="353"/>
      <c r="U16" s="355"/>
      <c r="V16" s="356" t="s">
        <v>187</v>
      </c>
      <c r="W16" s="353"/>
      <c r="X16" s="353"/>
      <c r="Y16" s="353"/>
      <c r="Z16" s="353"/>
      <c r="AA16" s="353"/>
      <c r="AB16" s="353"/>
      <c r="AC16" s="353"/>
      <c r="AD16" s="353"/>
      <c r="AE16" s="353"/>
      <c r="AF16" s="353"/>
      <c r="AG16" s="353"/>
      <c r="AH16" s="353"/>
      <c r="AI16" s="353"/>
      <c r="AJ16" s="353"/>
      <c r="AK16" s="353"/>
      <c r="AL16" s="353"/>
      <c r="AM16" s="353"/>
      <c r="AN16" s="353"/>
      <c r="AO16" s="353"/>
      <c r="AP16" s="353"/>
      <c r="AQ16" s="353"/>
      <c r="AR16" s="353"/>
      <c r="AS16" s="353"/>
      <c r="AT16" s="353"/>
      <c r="AU16" s="353"/>
      <c r="AV16" s="353"/>
      <c r="AW16" s="353"/>
      <c r="AX16" s="353"/>
      <c r="AY16" s="353"/>
      <c r="AZ16" s="353"/>
      <c r="BA16" s="353"/>
      <c r="BB16" s="353"/>
      <c r="BC16" s="353"/>
      <c r="BD16" s="353"/>
      <c r="BE16" s="353"/>
      <c r="BF16" s="353"/>
      <c r="BG16" s="353"/>
      <c r="BH16" s="353"/>
      <c r="BI16" s="353"/>
      <c r="BJ16" s="353"/>
      <c r="BK16" s="353"/>
      <c r="BL16" s="353"/>
      <c r="BM16" s="353"/>
      <c r="BN16" s="353"/>
      <c r="BO16" s="353"/>
      <c r="BP16" s="353"/>
      <c r="BQ16" s="353"/>
      <c r="BR16" s="353"/>
      <c r="BS16" s="353"/>
      <c r="BT16" s="353"/>
      <c r="BU16" s="353"/>
      <c r="BV16" s="353"/>
      <c r="BW16" s="353"/>
      <c r="BX16" s="353"/>
      <c r="BY16" s="353"/>
      <c r="BZ16" s="353"/>
      <c r="CA16" s="353"/>
      <c r="CB16" s="353"/>
      <c r="CC16" s="353"/>
      <c r="CD16" s="353"/>
      <c r="CE16" s="353"/>
      <c r="CF16" s="353"/>
      <c r="CG16" s="353"/>
      <c r="CH16" s="353"/>
      <c r="CI16" s="353"/>
      <c r="CJ16" s="353"/>
      <c r="CK16" s="353"/>
      <c r="CL16" s="353"/>
      <c r="CM16" s="353"/>
      <c r="CN16" s="353"/>
      <c r="CO16" s="353"/>
      <c r="CP16" s="353"/>
      <c r="CQ16" s="353"/>
      <c r="CR16" s="353"/>
      <c r="CS16" s="353"/>
      <c r="CT16" s="355"/>
      <c r="CU16" s="356" t="s">
        <v>186</v>
      </c>
      <c r="CV16" s="353"/>
      <c r="CW16" s="353"/>
      <c r="CX16" s="353"/>
      <c r="CY16" s="353"/>
      <c r="CZ16" s="353"/>
      <c r="DA16" s="353"/>
      <c r="DB16" s="353"/>
      <c r="DC16" s="353"/>
      <c r="DD16" s="353"/>
      <c r="DE16" s="353"/>
      <c r="DF16" s="353"/>
      <c r="DG16" s="353"/>
      <c r="DH16" s="353"/>
      <c r="DI16" s="353"/>
      <c r="DJ16" s="353"/>
      <c r="DK16" s="353"/>
      <c r="DL16" s="353"/>
      <c r="DM16" s="353"/>
      <c r="DN16" s="353"/>
      <c r="DO16" s="353"/>
      <c r="DP16" s="353"/>
      <c r="DQ16" s="353"/>
      <c r="DR16" s="353"/>
      <c r="DS16" s="353"/>
      <c r="DT16" s="353"/>
      <c r="DU16" s="353"/>
      <c r="DV16" s="353"/>
      <c r="DW16" s="353"/>
      <c r="DX16" s="353"/>
      <c r="DY16" s="353"/>
      <c r="DZ16" s="353"/>
      <c r="EA16" s="353"/>
      <c r="EB16" s="353"/>
      <c r="EC16" s="353"/>
      <c r="ED16" s="353"/>
    </row>
  </sheetData>
  <mergeCells count="29">
    <mergeCell ref="DU7:EJ7"/>
    <mergeCell ref="AC7:AR7"/>
    <mergeCell ref="AS7:BH7"/>
    <mergeCell ref="C8:R8"/>
    <mergeCell ref="R7:AB7"/>
    <mergeCell ref="BY7:CN7"/>
    <mergeCell ref="CO7:DD7"/>
    <mergeCell ref="DE7:DT7"/>
    <mergeCell ref="CE8:CT8"/>
    <mergeCell ref="BI7:BX7"/>
    <mergeCell ref="S8:AH8"/>
    <mergeCell ref="AI8:AX8"/>
    <mergeCell ref="AY8:BN8"/>
    <mergeCell ref="BO8:CD8"/>
    <mergeCell ref="I16:U16"/>
    <mergeCell ref="FI11:HD11"/>
    <mergeCell ref="HE11:HR11"/>
    <mergeCell ref="HM10:HR10"/>
    <mergeCell ref="DE10:DT10"/>
    <mergeCell ref="V16:CT16"/>
    <mergeCell ref="CU16:ED16"/>
    <mergeCell ref="J11:U11"/>
    <mergeCell ref="V11:CT11"/>
    <mergeCell ref="CU11:ED11"/>
    <mergeCell ref="AC10:AR10"/>
    <mergeCell ref="AS10:BH10"/>
    <mergeCell ref="BI10:BX10"/>
    <mergeCell ref="BY10:CN10"/>
    <mergeCell ref="CO10:DD10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3"/>
  <sheetViews>
    <sheetView topLeftCell="A93" zoomScale="125" zoomScaleNormal="125" zoomScalePageLayoutView="125" workbookViewId="0">
      <selection activeCell="H85" sqref="H85"/>
    </sheetView>
  </sheetViews>
  <sheetFormatPr defaultColWidth="12.69921875" defaultRowHeight="14.4"/>
  <cols>
    <col min="1" max="1" width="8.5" bestFit="1" customWidth="1"/>
    <col min="2" max="2" width="24" bestFit="1" customWidth="1"/>
    <col min="3" max="3" width="9.19921875" bestFit="1" customWidth="1"/>
    <col min="4" max="4" width="9.796875" bestFit="1" customWidth="1"/>
    <col min="5" max="5" width="9.5" bestFit="1" customWidth="1"/>
    <col min="6" max="6" width="9.296875" bestFit="1" customWidth="1"/>
    <col min="7" max="7" width="9.19921875" bestFit="1" customWidth="1"/>
    <col min="8" max="8" width="31.5" bestFit="1" customWidth="1"/>
    <col min="9" max="9" width="14.5" bestFit="1" customWidth="1"/>
    <col min="10" max="10" width="8.19921875" bestFit="1" customWidth="1"/>
    <col min="11" max="11" width="2.19921875" bestFit="1" customWidth="1"/>
    <col min="12" max="12" width="6.796875" bestFit="1" customWidth="1"/>
    <col min="13" max="13" width="6.796875" customWidth="1"/>
    <col min="14" max="14" width="6.796875" bestFit="1" customWidth="1"/>
    <col min="15" max="16" width="7.5" bestFit="1" customWidth="1"/>
    <col min="17" max="19" width="5" customWidth="1"/>
    <col min="26" max="26" width="16.5" customWidth="1"/>
    <col min="29" max="29" width="15.5" bestFit="1" customWidth="1"/>
  </cols>
  <sheetData>
    <row r="1" spans="2:21">
      <c r="B1" t="s">
        <v>136</v>
      </c>
      <c r="C1" t="s">
        <v>137</v>
      </c>
      <c r="G1" s="300" t="s">
        <v>138</v>
      </c>
      <c r="H1" s="300"/>
      <c r="I1" s="300" t="s">
        <v>139</v>
      </c>
      <c r="J1" s="300"/>
      <c r="K1" t="s">
        <v>164</v>
      </c>
    </row>
    <row r="2" spans="2:21">
      <c r="U2" t="s">
        <v>165</v>
      </c>
    </row>
    <row r="3" spans="2:21">
      <c r="B3" t="s">
        <v>161</v>
      </c>
      <c r="D3" s="360" t="s">
        <v>166</v>
      </c>
      <c r="E3" s="360"/>
      <c r="G3" s="300" t="s">
        <v>167</v>
      </c>
      <c r="H3" s="300"/>
      <c r="I3" t="s">
        <v>163</v>
      </c>
    </row>
    <row r="4" spans="2:21">
      <c r="C4" t="s">
        <v>157</v>
      </c>
      <c r="D4" s="360">
        <v>1</v>
      </c>
      <c r="E4" s="360"/>
      <c r="G4">
        <v>1</v>
      </c>
      <c r="I4">
        <v>1</v>
      </c>
      <c r="J4" t="s">
        <v>156</v>
      </c>
    </row>
    <row r="5" spans="2:21">
      <c r="C5" t="s">
        <v>155</v>
      </c>
      <c r="D5" s="360">
        <v>12</v>
      </c>
      <c r="E5" s="360"/>
      <c r="G5">
        <v>12</v>
      </c>
      <c r="I5">
        <v>12</v>
      </c>
      <c r="J5" t="s">
        <v>156</v>
      </c>
    </row>
    <row r="6" spans="2:21">
      <c r="C6" t="s">
        <v>158</v>
      </c>
      <c r="D6" s="360">
        <f>1/(1/(5*8)+1/(5*24))</f>
        <v>30</v>
      </c>
      <c r="E6" s="360"/>
      <c r="G6">
        <v>40</v>
      </c>
      <c r="I6">
        <v>0.33</v>
      </c>
      <c r="J6" t="s">
        <v>156</v>
      </c>
    </row>
    <row r="7" spans="2:21">
      <c r="C7" t="s">
        <v>159</v>
      </c>
      <c r="D7" s="360">
        <v>12.5</v>
      </c>
      <c r="E7" s="360"/>
      <c r="G7">
        <v>12.5</v>
      </c>
      <c r="I7">
        <v>12.5</v>
      </c>
      <c r="J7" t="s">
        <v>160</v>
      </c>
    </row>
    <row r="8" spans="2:21">
      <c r="C8" t="s">
        <v>162</v>
      </c>
      <c r="D8" s="362">
        <f>2+(50-25)*0.05-D7*(D4+D5+D6)/1000*LN(1/2047)</f>
        <v>7.3479701897929433</v>
      </c>
      <c r="E8" s="362"/>
      <c r="G8" s="7">
        <f>2+(50-25)*0.05-G7*(G4+G5+G6)/1000*LN(1/2047)</f>
        <v>8.3009865130006038</v>
      </c>
      <c r="I8">
        <f>2+(50-25)*0.05-I7*(I4+I5+I6)/1000*LN(1/2047)</f>
        <v>4.5203707588358117</v>
      </c>
    </row>
    <row r="9" spans="2:21">
      <c r="D9" s="360"/>
      <c r="E9" s="360"/>
    </row>
    <row r="10" spans="2:21">
      <c r="B10" t="s">
        <v>162</v>
      </c>
      <c r="C10" s="5">
        <v>5</v>
      </c>
      <c r="D10" s="360" t="s">
        <v>223</v>
      </c>
      <c r="E10" s="360"/>
    </row>
    <row r="11" spans="2:21">
      <c r="B11" t="s">
        <v>142</v>
      </c>
      <c r="C11" s="5">
        <v>11</v>
      </c>
      <c r="D11" s="360" t="s">
        <v>223</v>
      </c>
      <c r="E11" s="360"/>
    </row>
    <row r="12" spans="2:21">
      <c r="B12" t="s">
        <v>140</v>
      </c>
      <c r="C12">
        <f>C10+C11</f>
        <v>16</v>
      </c>
      <c r="D12" s="360" t="s">
        <v>223</v>
      </c>
      <c r="E12" s="360"/>
    </row>
    <row r="13" spans="2:21">
      <c r="B13" t="s">
        <v>141</v>
      </c>
      <c r="C13">
        <v>50</v>
      </c>
      <c r="D13" s="360" t="s">
        <v>223</v>
      </c>
      <c r="E13" s="360"/>
    </row>
    <row r="14" spans="2:21">
      <c r="B14" t="s">
        <v>144</v>
      </c>
      <c r="C14">
        <f>1000/C13</f>
        <v>20</v>
      </c>
      <c r="D14" s="360" t="s">
        <v>224</v>
      </c>
      <c r="E14" s="360"/>
    </row>
    <row r="16" spans="2:21">
      <c r="B16" s="361" t="s">
        <v>129</v>
      </c>
      <c r="C16" s="361"/>
      <c r="D16" s="361"/>
      <c r="E16" s="361"/>
      <c r="F16" s="361"/>
      <c r="G16" s="361"/>
      <c r="H16" s="361"/>
      <c r="I16" s="361"/>
      <c r="J16" s="361"/>
    </row>
    <row r="17" spans="1:19">
      <c r="B17" s="361" t="s">
        <v>130</v>
      </c>
      <c r="C17" s="361"/>
      <c r="D17" s="361"/>
      <c r="E17" s="361"/>
      <c r="F17" s="361"/>
      <c r="G17" s="361"/>
      <c r="H17" s="361"/>
      <c r="I17" s="361"/>
      <c r="J17" s="361"/>
    </row>
    <row r="20" spans="1:19">
      <c r="B20" t="s">
        <v>442</v>
      </c>
      <c r="C20">
        <f>16</f>
        <v>16</v>
      </c>
    </row>
    <row r="21" spans="1:19">
      <c r="B21" t="s">
        <v>445</v>
      </c>
      <c r="C21">
        <v>64</v>
      </c>
    </row>
    <row r="22" spans="1:19">
      <c r="B22" t="s">
        <v>465</v>
      </c>
      <c r="C22">
        <v>48</v>
      </c>
      <c r="D22" t="s">
        <v>466</v>
      </c>
    </row>
    <row r="23" spans="1:19">
      <c r="L23" s="353" t="s">
        <v>238</v>
      </c>
      <c r="M23" s="353"/>
      <c r="N23" s="353"/>
      <c r="O23" s="353"/>
      <c r="P23" s="353"/>
      <c r="Q23" s="353" t="s">
        <v>439</v>
      </c>
      <c r="R23" s="353"/>
      <c r="S23" s="353"/>
    </row>
    <row r="24" spans="1:19">
      <c r="A24" t="s">
        <v>213</v>
      </c>
      <c r="C24" t="s">
        <v>214</v>
      </c>
      <c r="D24" t="s">
        <v>252</v>
      </c>
      <c r="E24" t="s">
        <v>220</v>
      </c>
      <c r="F24" t="s">
        <v>225</v>
      </c>
      <c r="G24" t="s">
        <v>226</v>
      </c>
      <c r="H24" t="s">
        <v>237</v>
      </c>
      <c r="I24" t="s">
        <v>133</v>
      </c>
      <c r="J24" t="s">
        <v>216</v>
      </c>
      <c r="L24" t="s">
        <v>145</v>
      </c>
      <c r="N24" t="s">
        <v>146</v>
      </c>
      <c r="O24" t="s">
        <v>231</v>
      </c>
      <c r="P24" t="s">
        <v>85</v>
      </c>
      <c r="Q24" t="s">
        <v>398</v>
      </c>
      <c r="R24" t="s">
        <v>440</v>
      </c>
      <c r="S24" t="s">
        <v>441</v>
      </c>
    </row>
    <row r="25" spans="1:19">
      <c r="A25">
        <v>0</v>
      </c>
      <c r="B25" t="s">
        <v>448</v>
      </c>
      <c r="C25" s="67" t="s">
        <v>437</v>
      </c>
      <c r="H25" t="s">
        <v>453</v>
      </c>
      <c r="I25">
        <f>C21</f>
        <v>64</v>
      </c>
      <c r="R25" t="s">
        <v>234</v>
      </c>
    </row>
    <row r="26" spans="1:19">
      <c r="C26" s="30"/>
      <c r="H26" t="s">
        <v>443</v>
      </c>
    </row>
    <row r="27" spans="1:19">
      <c r="C27" s="30"/>
      <c r="H27" t="s">
        <v>452</v>
      </c>
    </row>
    <row r="28" spans="1:19">
      <c r="H28" t="s">
        <v>256</v>
      </c>
    </row>
    <row r="29" spans="1:19">
      <c r="A29">
        <f>A25+C$11</f>
        <v>11</v>
      </c>
      <c r="B29" t="s">
        <v>449</v>
      </c>
      <c r="H29" t="s">
        <v>444</v>
      </c>
    </row>
    <row r="30" spans="1:19">
      <c r="H30" t="s">
        <v>447</v>
      </c>
    </row>
    <row r="32" spans="1:19">
      <c r="A32">
        <f>A25+C$21</f>
        <v>64</v>
      </c>
      <c r="B32" t="s">
        <v>450</v>
      </c>
      <c r="E32" t="s">
        <v>135</v>
      </c>
      <c r="G32" t="s">
        <v>132</v>
      </c>
      <c r="H32" t="s">
        <v>456</v>
      </c>
      <c r="L32" t="s">
        <v>147</v>
      </c>
      <c r="N32" t="s">
        <v>147</v>
      </c>
      <c r="O32" t="s">
        <v>234</v>
      </c>
      <c r="P32" t="s">
        <v>234</v>
      </c>
      <c r="Q32" s="2" t="s">
        <v>246</v>
      </c>
    </row>
    <row r="33" spans="1:19">
      <c r="C33" s="68"/>
      <c r="H33" t="s">
        <v>248</v>
      </c>
      <c r="L33" t="s">
        <v>234</v>
      </c>
      <c r="N33" t="s">
        <v>234</v>
      </c>
      <c r="O33" t="s">
        <v>234</v>
      </c>
      <c r="P33" t="s">
        <v>234</v>
      </c>
      <c r="Q33" s="2" t="s">
        <v>246</v>
      </c>
    </row>
    <row r="34" spans="1:19">
      <c r="C34" s="68"/>
      <c r="H34" t="s">
        <v>255</v>
      </c>
      <c r="I34">
        <v>16</v>
      </c>
      <c r="L34" t="s">
        <v>234</v>
      </c>
      <c r="N34" t="s">
        <v>233</v>
      </c>
      <c r="O34" t="s">
        <v>245</v>
      </c>
      <c r="P34" t="s">
        <v>234</v>
      </c>
      <c r="Q34" s="2" t="s">
        <v>246</v>
      </c>
    </row>
    <row r="35" spans="1:19">
      <c r="H35" t="s">
        <v>446</v>
      </c>
    </row>
    <row r="41" spans="1:19">
      <c r="C41" s="68"/>
      <c r="L41" t="s">
        <v>234</v>
      </c>
      <c r="N41" t="s">
        <v>234</v>
      </c>
      <c r="O41" t="s">
        <v>234</v>
      </c>
      <c r="P41" t="s">
        <v>234</v>
      </c>
      <c r="Q41" s="2" t="s">
        <v>246</v>
      </c>
    </row>
    <row r="42" spans="1:19">
      <c r="A42">
        <f>A32+C$11+2*C$12</f>
        <v>107</v>
      </c>
      <c r="B42" t="s">
        <v>451</v>
      </c>
      <c r="C42" s="69"/>
      <c r="H42" t="s">
        <v>457</v>
      </c>
      <c r="L42" t="s">
        <v>234</v>
      </c>
      <c r="N42" t="s">
        <v>234</v>
      </c>
      <c r="O42" t="s">
        <v>234</v>
      </c>
      <c r="P42" t="s">
        <v>234</v>
      </c>
      <c r="Q42" s="2" t="s">
        <v>246</v>
      </c>
    </row>
    <row r="43" spans="1:19">
      <c r="C43" s="39"/>
      <c r="H43" t="s">
        <v>361</v>
      </c>
      <c r="L43" t="s">
        <v>234</v>
      </c>
      <c r="N43" t="s">
        <v>234</v>
      </c>
      <c r="O43" t="s">
        <v>234</v>
      </c>
      <c r="P43" t="s">
        <v>234</v>
      </c>
      <c r="Q43" s="2" t="s">
        <v>246</v>
      </c>
      <c r="R43" s="2"/>
      <c r="S43" s="2"/>
    </row>
    <row r="44" spans="1:19">
      <c r="Q44" s="2"/>
      <c r="R44" s="2"/>
      <c r="S44" s="2"/>
    </row>
    <row r="45" spans="1:19">
      <c r="A45">
        <f>A32+C$22</f>
        <v>112</v>
      </c>
      <c r="B45" t="s">
        <v>454</v>
      </c>
      <c r="C45" s="316" t="s">
        <v>154</v>
      </c>
      <c r="H45" t="s">
        <v>456</v>
      </c>
      <c r="R45" s="2"/>
      <c r="S45" s="2"/>
    </row>
    <row r="46" spans="1:19">
      <c r="C46" s="317"/>
      <c r="H46" t="s">
        <v>363</v>
      </c>
      <c r="L46" t="s">
        <v>234</v>
      </c>
      <c r="N46" t="s">
        <v>234</v>
      </c>
      <c r="O46" t="s">
        <v>234</v>
      </c>
      <c r="P46" t="s">
        <v>234</v>
      </c>
      <c r="Q46" s="2" t="s">
        <v>246</v>
      </c>
      <c r="R46" s="2"/>
      <c r="S46" s="2"/>
    </row>
    <row r="47" spans="1:19">
      <c r="C47" s="359"/>
      <c r="H47" t="s">
        <v>362</v>
      </c>
      <c r="L47" t="s">
        <v>234</v>
      </c>
      <c r="N47" t="s">
        <v>234</v>
      </c>
      <c r="O47" t="s">
        <v>234</v>
      </c>
      <c r="P47" t="s">
        <v>234</v>
      </c>
      <c r="Q47" s="2" t="s">
        <v>246</v>
      </c>
      <c r="R47" s="2"/>
      <c r="S47" s="2"/>
    </row>
    <row r="48" spans="1:19">
      <c r="C48" s="68"/>
      <c r="H48" t="s">
        <v>463</v>
      </c>
      <c r="L48" t="s">
        <v>234</v>
      </c>
      <c r="N48" t="s">
        <v>234</v>
      </c>
      <c r="O48" t="s">
        <v>234</v>
      </c>
      <c r="P48" t="s">
        <v>234</v>
      </c>
      <c r="Q48" s="2" t="s">
        <v>246</v>
      </c>
      <c r="R48" s="2"/>
      <c r="S48" s="2"/>
    </row>
    <row r="49" spans="1:19">
      <c r="C49" s="39"/>
      <c r="Q49" s="2"/>
      <c r="R49" s="2"/>
      <c r="S49" s="2"/>
    </row>
    <row r="50" spans="1:19">
      <c r="B50" t="s">
        <v>455</v>
      </c>
      <c r="C50" s="67" t="s">
        <v>134</v>
      </c>
      <c r="H50" t="s">
        <v>457</v>
      </c>
      <c r="L50" t="s">
        <v>147</v>
      </c>
      <c r="N50" t="s">
        <v>147</v>
      </c>
      <c r="O50" t="s">
        <v>235</v>
      </c>
      <c r="P50" t="s">
        <v>235</v>
      </c>
      <c r="Q50" s="2" t="s">
        <v>246</v>
      </c>
      <c r="R50" s="2"/>
      <c r="S50" s="2"/>
    </row>
    <row r="51" spans="1:19">
      <c r="C51" s="68"/>
      <c r="H51" t="s">
        <v>464</v>
      </c>
      <c r="L51" t="s">
        <v>147</v>
      </c>
      <c r="N51" t="s">
        <v>147</v>
      </c>
      <c r="O51" t="s">
        <v>245</v>
      </c>
      <c r="P51" t="s">
        <v>245</v>
      </c>
      <c r="Q51" s="2" t="s">
        <v>246</v>
      </c>
      <c r="R51" s="2"/>
      <c r="S51" s="2"/>
    </row>
    <row r="52" spans="1:19">
      <c r="C52" s="68"/>
      <c r="H52" t="s">
        <v>458</v>
      </c>
      <c r="L52" t="s">
        <v>234</v>
      </c>
      <c r="N52" t="s">
        <v>234</v>
      </c>
      <c r="O52" t="s">
        <v>234</v>
      </c>
      <c r="P52" t="s">
        <v>234</v>
      </c>
      <c r="Q52" s="2" t="s">
        <v>246</v>
      </c>
      <c r="R52" s="2"/>
      <c r="S52" s="2"/>
    </row>
    <row r="53" spans="1:19">
      <c r="C53" s="30"/>
      <c r="Q53" s="2"/>
      <c r="R53" s="2"/>
      <c r="S53" s="2"/>
    </row>
    <row r="54" spans="1:19">
      <c r="B54" t="s">
        <v>468</v>
      </c>
      <c r="C54" s="30"/>
      <c r="H54" t="s">
        <v>456</v>
      </c>
      <c r="Q54" s="2"/>
      <c r="R54" s="2"/>
      <c r="S54" s="2"/>
    </row>
    <row r="55" spans="1:19">
      <c r="C55" s="30"/>
      <c r="H55" t="s">
        <v>363</v>
      </c>
      <c r="Q55" s="2"/>
      <c r="R55" s="2"/>
      <c r="S55" s="2"/>
    </row>
    <row r="56" spans="1:19">
      <c r="C56" s="30"/>
      <c r="H56" t="s">
        <v>362</v>
      </c>
      <c r="Q56" s="2"/>
      <c r="R56" s="2"/>
      <c r="S56" s="2"/>
    </row>
    <row r="57" spans="1:19">
      <c r="C57" s="30"/>
      <c r="H57" t="s">
        <v>469</v>
      </c>
      <c r="Q57" s="2"/>
      <c r="R57" s="2"/>
      <c r="S57" s="2"/>
    </row>
    <row r="58" spans="1:19">
      <c r="C58" s="30"/>
      <c r="Q58" s="2"/>
      <c r="R58" s="2"/>
      <c r="S58" s="2"/>
    </row>
    <row r="59" spans="1:19">
      <c r="B59" t="s">
        <v>467</v>
      </c>
      <c r="C59" s="30"/>
      <c r="H59" t="s">
        <v>457</v>
      </c>
      <c r="Q59" s="2"/>
      <c r="R59" s="2"/>
      <c r="S59" s="2"/>
    </row>
    <row r="60" spans="1:19">
      <c r="C60" s="30"/>
      <c r="H60" t="s">
        <v>470</v>
      </c>
      <c r="Q60" s="2"/>
      <c r="R60" s="2"/>
      <c r="S60" s="2"/>
    </row>
    <row r="61" spans="1:19">
      <c r="R61" s="2"/>
      <c r="S61" s="2"/>
    </row>
    <row r="62" spans="1:19">
      <c r="A62">
        <f>A45+C$20</f>
        <v>128</v>
      </c>
      <c r="B62" t="s">
        <v>460</v>
      </c>
      <c r="C62" s="69"/>
      <c r="H62" t="s">
        <v>456</v>
      </c>
      <c r="L62" t="s">
        <v>234</v>
      </c>
      <c r="N62" t="s">
        <v>234</v>
      </c>
      <c r="O62" t="s">
        <v>234</v>
      </c>
      <c r="P62" t="s">
        <v>234</v>
      </c>
      <c r="Q62" s="2" t="s">
        <v>246</v>
      </c>
      <c r="R62" s="2"/>
      <c r="S62" s="2"/>
    </row>
    <row r="63" spans="1:19">
      <c r="H63" t="s">
        <v>363</v>
      </c>
      <c r="Q63" s="2"/>
      <c r="R63" s="2"/>
      <c r="S63" s="2"/>
    </row>
    <row r="64" spans="1:19">
      <c r="C64" s="67" t="s">
        <v>132</v>
      </c>
      <c r="H64" t="s">
        <v>362</v>
      </c>
      <c r="L64" t="s">
        <v>147</v>
      </c>
      <c r="N64" t="s">
        <v>147</v>
      </c>
      <c r="O64" t="s">
        <v>233</v>
      </c>
      <c r="P64" t="s">
        <v>236</v>
      </c>
      <c r="Q64" s="2" t="s">
        <v>246</v>
      </c>
      <c r="R64" s="2"/>
      <c r="S64" s="2"/>
    </row>
    <row r="65" spans="2:19">
      <c r="C65" s="68"/>
      <c r="H65" t="s">
        <v>471</v>
      </c>
      <c r="Q65" s="2"/>
      <c r="R65" s="2"/>
      <c r="S65" s="2"/>
    </row>
    <row r="66" spans="2:19">
      <c r="C66" s="68"/>
      <c r="L66" t="s">
        <v>234</v>
      </c>
      <c r="N66" t="s">
        <v>234</v>
      </c>
      <c r="O66" t="s">
        <v>234</v>
      </c>
      <c r="P66" t="s">
        <v>234</v>
      </c>
      <c r="Q66" s="2" t="s">
        <v>246</v>
      </c>
      <c r="R66" s="2"/>
      <c r="S66" s="2"/>
    </row>
    <row r="67" spans="2:19">
      <c r="B67" t="s">
        <v>148</v>
      </c>
      <c r="H67" t="s">
        <v>457</v>
      </c>
      <c r="Q67" s="2"/>
      <c r="R67" s="2"/>
      <c r="S67" s="2"/>
    </row>
    <row r="68" spans="2:19">
      <c r="C68" s="67" t="s">
        <v>132</v>
      </c>
      <c r="H68" t="s">
        <v>257</v>
      </c>
      <c r="L68" t="s">
        <v>147</v>
      </c>
      <c r="N68" t="s">
        <v>147</v>
      </c>
      <c r="O68" t="s">
        <v>245</v>
      </c>
      <c r="P68" t="s">
        <v>147</v>
      </c>
      <c r="Q68" s="2" t="s">
        <v>246</v>
      </c>
      <c r="R68" s="2"/>
      <c r="S68" s="2"/>
    </row>
    <row r="69" spans="2:19">
      <c r="C69" s="68"/>
      <c r="H69" t="s">
        <v>249</v>
      </c>
      <c r="L69" t="s">
        <v>147</v>
      </c>
      <c r="N69" t="s">
        <v>147</v>
      </c>
      <c r="O69" t="s">
        <v>245</v>
      </c>
      <c r="P69" t="s">
        <v>147</v>
      </c>
      <c r="Q69" s="2" t="s">
        <v>246</v>
      </c>
      <c r="R69" s="2"/>
      <c r="S69" s="2"/>
    </row>
    <row r="70" spans="2:19">
      <c r="C70" s="69"/>
      <c r="H70" t="s">
        <v>247</v>
      </c>
      <c r="L70" t="s">
        <v>234</v>
      </c>
      <c r="N70" t="s">
        <v>233</v>
      </c>
      <c r="O70" s="2" t="s">
        <v>232</v>
      </c>
      <c r="P70" t="s">
        <v>245</v>
      </c>
      <c r="Q70" s="2" t="s">
        <v>246</v>
      </c>
      <c r="R70" s="2"/>
      <c r="S70" s="2"/>
    </row>
    <row r="71" spans="2:19">
      <c r="C71" s="69"/>
      <c r="L71" t="s">
        <v>234</v>
      </c>
      <c r="N71" t="s">
        <v>234</v>
      </c>
      <c r="O71" t="s">
        <v>234</v>
      </c>
      <c r="P71" t="s">
        <v>234</v>
      </c>
      <c r="Q71" s="2" t="s">
        <v>246</v>
      </c>
      <c r="R71" s="2"/>
      <c r="S71" s="2"/>
    </row>
    <row r="72" spans="2:19">
      <c r="B72" t="s">
        <v>459</v>
      </c>
      <c r="H72" t="s">
        <v>456</v>
      </c>
      <c r="R72" s="2"/>
      <c r="S72" s="2"/>
    </row>
    <row r="73" spans="2:19">
      <c r="H73" t="s">
        <v>363</v>
      </c>
      <c r="R73" s="2"/>
      <c r="S73" s="2"/>
    </row>
    <row r="74" spans="2:19">
      <c r="C74" s="68"/>
      <c r="H74" t="s">
        <v>362</v>
      </c>
      <c r="L74" t="s">
        <v>147</v>
      </c>
      <c r="N74" t="s">
        <v>147</v>
      </c>
      <c r="O74" t="s">
        <v>233</v>
      </c>
      <c r="P74" t="s">
        <v>236</v>
      </c>
      <c r="Q74" s="2" t="s">
        <v>246</v>
      </c>
      <c r="R74" s="2"/>
      <c r="S74" s="2"/>
    </row>
    <row r="75" spans="2:19">
      <c r="H75" t="s">
        <v>150</v>
      </c>
      <c r="R75" s="2"/>
      <c r="S75" s="2"/>
    </row>
    <row r="76" spans="2:19">
      <c r="R76" s="2"/>
      <c r="S76" s="2"/>
    </row>
    <row r="77" spans="2:19">
      <c r="B77" t="s">
        <v>149</v>
      </c>
      <c r="H77" t="s">
        <v>457</v>
      </c>
      <c r="Q77" s="2"/>
      <c r="R77" s="2"/>
      <c r="S77" s="2"/>
    </row>
    <row r="78" spans="2:19">
      <c r="C78" s="67" t="s">
        <v>132</v>
      </c>
      <c r="H78" t="s">
        <v>151</v>
      </c>
      <c r="I78" s="5"/>
      <c r="L78" t="s">
        <v>147</v>
      </c>
      <c r="N78" t="s">
        <v>147</v>
      </c>
      <c r="O78" t="s">
        <v>233</v>
      </c>
      <c r="P78" t="s">
        <v>236</v>
      </c>
      <c r="Q78" s="2" t="s">
        <v>246</v>
      </c>
      <c r="R78" s="2"/>
      <c r="S78" s="2"/>
    </row>
    <row r="79" spans="2:19">
      <c r="C79" s="68"/>
      <c r="I79" s="5"/>
      <c r="Q79" s="2"/>
      <c r="R79" s="2"/>
      <c r="S79" s="2"/>
    </row>
    <row r="80" spans="2:19">
      <c r="B80" t="s">
        <v>461</v>
      </c>
      <c r="C80" s="68"/>
      <c r="E80" t="s">
        <v>222</v>
      </c>
      <c r="F80" t="s">
        <v>221</v>
      </c>
      <c r="H80" t="s">
        <v>456</v>
      </c>
      <c r="I80" s="5"/>
      <c r="Q80" s="2"/>
      <c r="R80" s="2"/>
      <c r="S80" s="2"/>
    </row>
    <row r="81" spans="2:30">
      <c r="C81" s="68"/>
      <c r="H81" t="s">
        <v>462</v>
      </c>
      <c r="I81" t="s">
        <v>143</v>
      </c>
      <c r="Q81" s="2"/>
      <c r="R81" s="2"/>
      <c r="S81" s="2"/>
    </row>
    <row r="82" spans="2:30">
      <c r="C82" s="68"/>
      <c r="H82" s="30" t="s">
        <v>371</v>
      </c>
      <c r="Q82" s="2"/>
      <c r="R82" s="2"/>
      <c r="S82" s="2"/>
    </row>
    <row r="83" spans="2:30">
      <c r="B83" t="s">
        <v>174</v>
      </c>
      <c r="C83" s="30"/>
      <c r="F83" t="s">
        <v>372</v>
      </c>
      <c r="H83" s="30" t="s">
        <v>369</v>
      </c>
      <c r="Q83" s="2"/>
      <c r="R83" s="2"/>
      <c r="S83" s="2"/>
    </row>
    <row r="84" spans="2:30">
      <c r="C84" s="68"/>
      <c r="H84" t="s">
        <v>251</v>
      </c>
      <c r="L84" t="s">
        <v>147</v>
      </c>
      <c r="N84" t="s">
        <v>147</v>
      </c>
      <c r="O84" t="s">
        <v>233</v>
      </c>
      <c r="P84" t="s">
        <v>236</v>
      </c>
      <c r="Q84" s="2" t="s">
        <v>246</v>
      </c>
      <c r="R84" s="2"/>
      <c r="S84" s="2"/>
    </row>
    <row r="85" spans="2:30">
      <c r="C85" s="68"/>
      <c r="H85" s="45"/>
      <c r="L85" t="s">
        <v>147</v>
      </c>
      <c r="N85" t="s">
        <v>147</v>
      </c>
      <c r="O85" t="s">
        <v>233</v>
      </c>
      <c r="P85" t="s">
        <v>236</v>
      </c>
      <c r="Q85" s="2" t="s">
        <v>246</v>
      </c>
      <c r="R85" s="2"/>
      <c r="S85" s="2"/>
    </row>
    <row r="86" spans="2:30">
      <c r="C86" s="68"/>
      <c r="H86" t="s">
        <v>457</v>
      </c>
      <c r="L86" t="s">
        <v>147</v>
      </c>
      <c r="N86" t="s">
        <v>147</v>
      </c>
      <c r="O86" t="s">
        <v>245</v>
      </c>
      <c r="P86" t="s">
        <v>236</v>
      </c>
      <c r="Q86" s="2" t="s">
        <v>246</v>
      </c>
      <c r="R86" s="2"/>
      <c r="S86" s="2"/>
    </row>
    <row r="87" spans="2:30">
      <c r="C87" s="69"/>
      <c r="H87" t="s">
        <v>152</v>
      </c>
      <c r="L87" t="s">
        <v>147</v>
      </c>
      <c r="N87" t="s">
        <v>147</v>
      </c>
      <c r="O87" t="s">
        <v>147</v>
      </c>
      <c r="P87" t="s">
        <v>153</v>
      </c>
      <c r="Q87" s="2" t="s">
        <v>246</v>
      </c>
    </row>
    <row r="88" spans="2:30">
      <c r="D88" t="s">
        <v>253</v>
      </c>
      <c r="G88" t="s">
        <v>196</v>
      </c>
      <c r="H88" s="45" t="s">
        <v>366</v>
      </c>
      <c r="L88" s="2" t="s">
        <v>246</v>
      </c>
      <c r="M88" s="2"/>
      <c r="N88" s="2" t="s">
        <v>246</v>
      </c>
      <c r="O88" s="2" t="s">
        <v>246</v>
      </c>
      <c r="P88" s="2" t="s">
        <v>246</v>
      </c>
      <c r="Q88" t="s">
        <v>233</v>
      </c>
      <c r="R88" s="2"/>
      <c r="S88" s="2"/>
    </row>
    <row r="89" spans="2:30">
      <c r="H89" t="s">
        <v>250</v>
      </c>
      <c r="L89" s="2" t="s">
        <v>232</v>
      </c>
      <c r="M89" s="2"/>
      <c r="N89" s="2" t="s">
        <v>232</v>
      </c>
      <c r="O89" s="2" t="s">
        <v>232</v>
      </c>
      <c r="P89" s="2" t="s">
        <v>232</v>
      </c>
      <c r="Q89" s="2" t="s">
        <v>246</v>
      </c>
      <c r="R89" s="2"/>
      <c r="S89" s="2"/>
    </row>
    <row r="90" spans="2:30">
      <c r="L90" t="s">
        <v>147</v>
      </c>
      <c r="N90" t="s">
        <v>147</v>
      </c>
      <c r="O90" t="s">
        <v>234</v>
      </c>
      <c r="P90" t="s">
        <v>239</v>
      </c>
      <c r="Q90" s="2" t="s">
        <v>246</v>
      </c>
      <c r="R90" s="2"/>
      <c r="S90" s="2"/>
    </row>
    <row r="91" spans="2:30">
      <c r="C91" s="30"/>
      <c r="H91" s="45" t="s">
        <v>244</v>
      </c>
      <c r="L91" t="s">
        <v>147</v>
      </c>
      <c r="N91" t="s">
        <v>147</v>
      </c>
      <c r="O91" t="s">
        <v>233</v>
      </c>
      <c r="P91" t="s">
        <v>236</v>
      </c>
      <c r="Q91" s="2" t="s">
        <v>246</v>
      </c>
      <c r="R91" s="2"/>
      <c r="S91" s="2"/>
      <c r="AC91" t="s">
        <v>380</v>
      </c>
      <c r="AD91" t="s">
        <v>381</v>
      </c>
    </row>
    <row r="92" spans="2:30">
      <c r="C92" s="316" t="s">
        <v>196</v>
      </c>
      <c r="D92" t="s">
        <v>254</v>
      </c>
      <c r="H92" s="45" t="s">
        <v>364</v>
      </c>
      <c r="L92" s="2" t="s">
        <v>246</v>
      </c>
      <c r="M92" s="2"/>
      <c r="N92" s="2" t="s">
        <v>246</v>
      </c>
      <c r="O92" s="2" t="s">
        <v>246</v>
      </c>
      <c r="P92" s="2" t="s">
        <v>246</v>
      </c>
      <c r="Q92" t="s">
        <v>236</v>
      </c>
      <c r="AB92" t="s">
        <v>374</v>
      </c>
      <c r="AC92" t="s">
        <v>376</v>
      </c>
      <c r="AD92" t="s">
        <v>382</v>
      </c>
    </row>
    <row r="93" spans="2:30">
      <c r="C93" s="317"/>
      <c r="H93" s="45" t="s">
        <v>367</v>
      </c>
      <c r="J93" t="s">
        <v>217</v>
      </c>
      <c r="L93" s="2" t="s">
        <v>232</v>
      </c>
      <c r="M93" s="2"/>
      <c r="N93" s="2" t="s">
        <v>232</v>
      </c>
      <c r="O93" s="2" t="s">
        <v>232</v>
      </c>
      <c r="P93" s="2" t="s">
        <v>232</v>
      </c>
      <c r="Q93" s="2" t="s">
        <v>246</v>
      </c>
      <c r="R93" s="2"/>
      <c r="S93" s="2"/>
    </row>
    <row r="94" spans="2:30">
      <c r="C94" s="317"/>
      <c r="H94" t="s">
        <v>230</v>
      </c>
      <c r="L94" t="s">
        <v>147</v>
      </c>
      <c r="N94" t="s">
        <v>147</v>
      </c>
      <c r="O94" t="s">
        <v>234</v>
      </c>
      <c r="P94" t="s">
        <v>239</v>
      </c>
      <c r="Q94" s="2" t="s">
        <v>246</v>
      </c>
      <c r="R94" s="2"/>
      <c r="S94" s="2"/>
      <c r="T94" s="46"/>
      <c r="AB94" t="s">
        <v>375</v>
      </c>
      <c r="AC94" t="s">
        <v>377</v>
      </c>
      <c r="AD94" t="s">
        <v>384</v>
      </c>
    </row>
    <row r="95" spans="2:30">
      <c r="C95" s="359"/>
      <c r="F95" t="s">
        <v>372</v>
      </c>
      <c r="G95" s="2"/>
      <c r="H95" s="45" t="s">
        <v>243</v>
      </c>
      <c r="L95" s="2" t="s">
        <v>232</v>
      </c>
      <c r="M95" s="2"/>
      <c r="N95" s="2" t="s">
        <v>232</v>
      </c>
      <c r="O95" s="2" t="s">
        <v>232</v>
      </c>
      <c r="P95" s="2" t="s">
        <v>232</v>
      </c>
      <c r="Q95" s="2" t="s">
        <v>246</v>
      </c>
      <c r="R95" s="2"/>
      <c r="S95" s="2"/>
    </row>
    <row r="96" spans="2:30">
      <c r="G96" t="s">
        <v>227</v>
      </c>
      <c r="H96" s="45" t="s">
        <v>365</v>
      </c>
      <c r="L96" s="2" t="s">
        <v>232</v>
      </c>
      <c r="M96" s="2"/>
      <c r="N96" s="2" t="s">
        <v>232</v>
      </c>
      <c r="O96" s="2" t="s">
        <v>232</v>
      </c>
      <c r="P96" s="2" t="s">
        <v>232</v>
      </c>
      <c r="Q96" s="2" t="s">
        <v>246</v>
      </c>
      <c r="R96" s="2"/>
      <c r="S96" s="2"/>
    </row>
    <row r="97" spans="3:30">
      <c r="C97" s="30"/>
      <c r="H97" t="s">
        <v>215</v>
      </c>
      <c r="L97" s="2" t="s">
        <v>232</v>
      </c>
      <c r="M97" s="2"/>
      <c r="N97" s="2" t="s">
        <v>232</v>
      </c>
      <c r="O97" s="2" t="s">
        <v>232</v>
      </c>
      <c r="P97" s="2" t="s">
        <v>232</v>
      </c>
      <c r="Q97" s="2" t="s">
        <v>246</v>
      </c>
      <c r="R97" s="2"/>
      <c r="S97" s="2"/>
      <c r="AB97" t="s">
        <v>385</v>
      </c>
    </row>
    <row r="98" spans="3:30">
      <c r="C98" s="316" t="s">
        <v>227</v>
      </c>
      <c r="H98" s="30" t="s">
        <v>219</v>
      </c>
      <c r="L98" s="2" t="s">
        <v>232</v>
      </c>
      <c r="M98" s="2"/>
      <c r="N98" s="2" t="s">
        <v>232</v>
      </c>
      <c r="O98" s="2" t="s">
        <v>232</v>
      </c>
      <c r="P98" s="2" t="s">
        <v>232</v>
      </c>
      <c r="Q98" s="2" t="s">
        <v>246</v>
      </c>
      <c r="R98" s="2"/>
      <c r="S98" s="2"/>
      <c r="AB98" t="s">
        <v>375</v>
      </c>
      <c r="AC98" t="s">
        <v>378</v>
      </c>
      <c r="AD98" t="s">
        <v>377</v>
      </c>
    </row>
    <row r="99" spans="3:30">
      <c r="C99" s="317"/>
      <c r="H99" s="30" t="s">
        <v>215</v>
      </c>
      <c r="L99" t="s">
        <v>234</v>
      </c>
      <c r="N99" t="s">
        <v>234</v>
      </c>
      <c r="O99" t="s">
        <v>234</v>
      </c>
      <c r="P99" t="s">
        <v>234</v>
      </c>
      <c r="Q99" s="2" t="s">
        <v>246</v>
      </c>
      <c r="R99" s="2"/>
      <c r="S99" s="2"/>
    </row>
    <row r="100" spans="3:30">
      <c r="C100" s="317"/>
      <c r="H100" s="30" t="s">
        <v>241</v>
      </c>
      <c r="L100" s="2" t="s">
        <v>232</v>
      </c>
      <c r="M100" s="2"/>
      <c r="N100" s="2" t="s">
        <v>232</v>
      </c>
      <c r="O100" s="2" t="s">
        <v>232</v>
      </c>
      <c r="P100" s="2" t="s">
        <v>232</v>
      </c>
      <c r="Q100" s="2" t="s">
        <v>246</v>
      </c>
      <c r="R100" s="2"/>
      <c r="S100" s="2"/>
      <c r="AC100" t="s">
        <v>379</v>
      </c>
      <c r="AD100" t="s">
        <v>383</v>
      </c>
    </row>
    <row r="101" spans="3:30">
      <c r="C101" s="359"/>
      <c r="H101" t="s">
        <v>218</v>
      </c>
      <c r="L101" s="2" t="s">
        <v>232</v>
      </c>
      <c r="M101" s="2"/>
      <c r="N101" s="2" t="s">
        <v>232</v>
      </c>
      <c r="O101" t="s">
        <v>245</v>
      </c>
      <c r="P101" t="s">
        <v>245</v>
      </c>
      <c r="Q101" s="2" t="s">
        <v>246</v>
      </c>
      <c r="R101" s="2"/>
      <c r="S101" s="2"/>
      <c r="AC101" t="s">
        <v>386</v>
      </c>
    </row>
    <row r="102" spans="3:30">
      <c r="G102" t="s">
        <v>131</v>
      </c>
      <c r="H102" t="s">
        <v>229</v>
      </c>
      <c r="L102" s="2" t="s">
        <v>232</v>
      </c>
      <c r="M102" s="2"/>
      <c r="N102" s="2" t="s">
        <v>232</v>
      </c>
      <c r="O102" s="2" t="s">
        <v>232</v>
      </c>
      <c r="P102" s="2" t="s">
        <v>232</v>
      </c>
      <c r="Q102" s="2" t="s">
        <v>246</v>
      </c>
      <c r="R102" s="2"/>
      <c r="S102" s="2"/>
    </row>
    <row r="103" spans="3:30">
      <c r="H103" s="45" t="s">
        <v>368</v>
      </c>
      <c r="L103" t="s">
        <v>147</v>
      </c>
      <c r="N103" t="s">
        <v>147</v>
      </c>
      <c r="O103" t="s">
        <v>234</v>
      </c>
      <c r="P103" t="s">
        <v>239</v>
      </c>
      <c r="Q103" s="2" t="s">
        <v>246</v>
      </c>
      <c r="R103" s="2"/>
      <c r="S103" s="2"/>
    </row>
    <row r="104" spans="3:30">
      <c r="H104" t="s">
        <v>242</v>
      </c>
      <c r="L104" t="s">
        <v>245</v>
      </c>
      <c r="N104" t="s">
        <v>245</v>
      </c>
      <c r="O104" t="s">
        <v>239</v>
      </c>
      <c r="P104" t="s">
        <v>245</v>
      </c>
      <c r="Q104" s="2" t="s">
        <v>246</v>
      </c>
      <c r="R104" s="2"/>
      <c r="S104" s="2"/>
    </row>
    <row r="105" spans="3:30">
      <c r="H105" s="45" t="s">
        <v>370</v>
      </c>
      <c r="J105" t="s">
        <v>228</v>
      </c>
      <c r="L105" s="2" t="s">
        <v>232</v>
      </c>
      <c r="M105" s="2"/>
      <c r="N105" s="2" t="s">
        <v>232</v>
      </c>
      <c r="O105" s="2" t="s">
        <v>232</v>
      </c>
      <c r="P105" s="2" t="s">
        <v>232</v>
      </c>
      <c r="Q105" s="2" t="s">
        <v>246</v>
      </c>
      <c r="R105" s="2"/>
      <c r="S105" s="2"/>
    </row>
    <row r="106" spans="3:30">
      <c r="H106" t="s">
        <v>258</v>
      </c>
      <c r="L106" s="2" t="s">
        <v>232</v>
      </c>
      <c r="M106" s="2"/>
      <c r="N106" s="2" t="s">
        <v>232</v>
      </c>
      <c r="O106" s="2" t="s">
        <v>232</v>
      </c>
      <c r="P106" s="2" t="s">
        <v>232</v>
      </c>
      <c r="Q106" s="2" t="s">
        <v>246</v>
      </c>
      <c r="R106" s="2"/>
      <c r="S106" s="2"/>
    </row>
    <row r="107" spans="3:30">
      <c r="H107" t="s">
        <v>240</v>
      </c>
      <c r="L107" s="2" t="s">
        <v>246</v>
      </c>
      <c r="M107" s="2"/>
      <c r="N107" s="2" t="s">
        <v>246</v>
      </c>
      <c r="O107" s="2" t="s">
        <v>246</v>
      </c>
      <c r="P107" s="2" t="s">
        <v>246</v>
      </c>
      <c r="Q107" t="s">
        <v>234</v>
      </c>
    </row>
    <row r="108" spans="3:30">
      <c r="F108" t="s">
        <v>373</v>
      </c>
    </row>
    <row r="145" spans="21:26">
      <c r="V145" t="s">
        <v>423</v>
      </c>
      <c r="W145" t="s">
        <v>421</v>
      </c>
      <c r="Y145" s="47" t="s">
        <v>424</v>
      </c>
      <c r="Z145" s="58">
        <v>100</v>
      </c>
    </row>
    <row r="146" spans="21:26">
      <c r="U146" t="s">
        <v>407</v>
      </c>
      <c r="V146">
        <v>1200</v>
      </c>
      <c r="W146" s="7">
        <f>5/0.91</f>
        <v>5.4945054945054945</v>
      </c>
      <c r="X146" t="s">
        <v>408</v>
      </c>
      <c r="Y146" s="7">
        <f t="shared" ref="Y146:Y151" si="0">V146/Z$145/W146</f>
        <v>2.1840000000000002</v>
      </c>
    </row>
    <row r="147" spans="21:26">
      <c r="U147" t="s">
        <v>409</v>
      </c>
      <c r="V147">
        <v>340</v>
      </c>
      <c r="W147" s="7">
        <f>1.5/2.2</f>
        <v>0.68181818181818177</v>
      </c>
      <c r="X147" t="s">
        <v>410</v>
      </c>
      <c r="Y147" s="7">
        <f t="shared" si="0"/>
        <v>4.9866666666666672</v>
      </c>
    </row>
    <row r="148" spans="21:26">
      <c r="U148" t="s">
        <v>411</v>
      </c>
      <c r="V148">
        <v>340</v>
      </c>
      <c r="W148" s="7">
        <f>1.5/2.56</f>
        <v>0.5859375</v>
      </c>
      <c r="X148" t="s">
        <v>412</v>
      </c>
      <c r="Y148" s="7">
        <f t="shared" si="0"/>
        <v>5.8026666666666662</v>
      </c>
    </row>
    <row r="149" spans="21:26">
      <c r="U149" t="s">
        <v>413</v>
      </c>
      <c r="V149">
        <v>340</v>
      </c>
      <c r="W149" s="7">
        <f>1.5/2.56</f>
        <v>0.5859375</v>
      </c>
      <c r="X149" t="s">
        <v>414</v>
      </c>
      <c r="Y149" s="7">
        <f t="shared" si="0"/>
        <v>5.8026666666666662</v>
      </c>
    </row>
    <row r="150" spans="21:26">
      <c r="U150" t="s">
        <v>422</v>
      </c>
      <c r="V150">
        <v>1200</v>
      </c>
      <c r="W150" s="7">
        <f>4.5/2.21</f>
        <v>2.0361990950226243</v>
      </c>
      <c r="X150" t="s">
        <v>419</v>
      </c>
      <c r="Y150" s="7">
        <f t="shared" si="0"/>
        <v>5.8933333333333335</v>
      </c>
    </row>
    <row r="151" spans="21:26">
      <c r="U151" t="s">
        <v>425</v>
      </c>
      <c r="V151">
        <v>266</v>
      </c>
      <c r="W151" s="7">
        <f>3/4.7</f>
        <v>0.63829787234042545</v>
      </c>
      <c r="X151" t="s">
        <v>420</v>
      </c>
      <c r="Y151" s="7">
        <f t="shared" si="0"/>
        <v>4.1673333333333344</v>
      </c>
    </row>
    <row r="152" spans="21:26">
      <c r="U152" t="s">
        <v>415</v>
      </c>
      <c r="V152">
        <v>145</v>
      </c>
      <c r="W152" s="7">
        <v>0.33</v>
      </c>
      <c r="X152" t="s">
        <v>416</v>
      </c>
      <c r="Y152" s="7">
        <f>V152/Z$145/W152</f>
        <v>4.3939393939393936</v>
      </c>
    </row>
    <row r="153" spans="21:26">
      <c r="U153" t="s">
        <v>417</v>
      </c>
      <c r="V153">
        <v>49.7</v>
      </c>
      <c r="W153" s="7">
        <v>0.17</v>
      </c>
      <c r="X153" t="s">
        <v>418</v>
      </c>
      <c r="Y153" s="7">
        <f>V153/Z$145/W153</f>
        <v>2.9235294117647062</v>
      </c>
    </row>
  </sheetData>
  <mergeCells count="22">
    <mergeCell ref="Q23:S23"/>
    <mergeCell ref="D10:E10"/>
    <mergeCell ref="D11:E11"/>
    <mergeCell ref="D12:E12"/>
    <mergeCell ref="D13:E13"/>
    <mergeCell ref="D5:E5"/>
    <mergeCell ref="D6:E6"/>
    <mergeCell ref="D7:E7"/>
    <mergeCell ref="D8:E8"/>
    <mergeCell ref="D9:E9"/>
    <mergeCell ref="G1:H1"/>
    <mergeCell ref="I1:J1"/>
    <mergeCell ref="G3:H3"/>
    <mergeCell ref="D3:E3"/>
    <mergeCell ref="D4:E4"/>
    <mergeCell ref="C98:C101"/>
    <mergeCell ref="D14:E14"/>
    <mergeCell ref="L23:P23"/>
    <mergeCell ref="C92:C95"/>
    <mergeCell ref="B16:J16"/>
    <mergeCell ref="B17:J17"/>
    <mergeCell ref="C45:C47"/>
  </mergeCells>
  <phoneticPr fontId="1"/>
  <pageMargins left="0.7" right="0.7" top="0.75" bottom="0.75" header="0.3" footer="0.3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7169" r:id="rId3">
          <objectPr defaultSize="0" autoPict="0" r:id="rId4">
            <anchor moveWithCells="1">
              <from>
                <xdr:col>20</xdr:col>
                <xdr:colOff>22860</xdr:colOff>
                <xdr:row>2</xdr:row>
                <xdr:rowOff>38100</xdr:rowOff>
              </from>
              <to>
                <xdr:col>22</xdr:col>
                <xdr:colOff>586740</xdr:colOff>
                <xdr:row>18</xdr:row>
                <xdr:rowOff>137160</xdr:rowOff>
              </to>
            </anchor>
          </objectPr>
        </oleObject>
      </mc:Choice>
      <mc:Fallback>
        <oleObject progId="Equation.3" shapeId="7169" r:id="rId3"/>
      </mc:Fallback>
    </mc:AlternateContent>
    <mc:AlternateContent xmlns:mc="http://schemas.openxmlformats.org/markup-compatibility/2006">
      <mc:Choice Requires="x14">
        <oleObject progId="Equation.3" shapeId="7171" r:id="rId5">
          <objectPr defaultSize="0" autoPict="0" r:id="rId6">
            <anchor moveWithCells="1">
              <from>
                <xdr:col>20</xdr:col>
                <xdr:colOff>0</xdr:colOff>
                <xdr:row>42</xdr:row>
                <xdr:rowOff>15240</xdr:rowOff>
              </from>
              <to>
                <xdr:col>24</xdr:col>
                <xdr:colOff>15240</xdr:colOff>
                <xdr:row>61</xdr:row>
                <xdr:rowOff>0</xdr:rowOff>
              </to>
            </anchor>
          </objectPr>
        </oleObject>
      </mc:Choice>
      <mc:Fallback>
        <oleObject progId="Equation.3" shapeId="7171" r:id="rId5"/>
      </mc:Fallback>
    </mc:AlternateContent>
    <mc:AlternateContent xmlns:mc="http://schemas.openxmlformats.org/markup-compatibility/2006">
      <mc:Choice Requires="x14">
        <oleObject progId="Equation.3" shapeId="7173" r:id="rId7">
          <objectPr defaultSize="0" autoPict="0" r:id="rId8">
            <anchor moveWithCells="1">
              <from>
                <xdr:col>20</xdr:col>
                <xdr:colOff>0</xdr:colOff>
                <xdr:row>73</xdr:row>
                <xdr:rowOff>15240</xdr:rowOff>
              </from>
              <to>
                <xdr:col>24</xdr:col>
                <xdr:colOff>15240</xdr:colOff>
                <xdr:row>102</xdr:row>
                <xdr:rowOff>190500</xdr:rowOff>
              </to>
            </anchor>
          </objectPr>
        </oleObject>
      </mc:Choice>
      <mc:Fallback>
        <oleObject progId="Equation.3" shapeId="7173" r:id="rId7"/>
      </mc:Fallback>
    </mc:AlternateContent>
    <mc:AlternateContent xmlns:mc="http://schemas.openxmlformats.org/markup-compatibility/2006">
      <mc:Choice Requires="x14">
        <oleObject progId="Equation.3" shapeId="7175" r:id="rId9">
          <objectPr defaultSize="0" autoPict="0" r:id="rId10">
            <anchor moveWithCells="1">
              <from>
                <xdr:col>25</xdr:col>
                <xdr:colOff>0</xdr:colOff>
                <xdr:row>91</xdr:row>
                <xdr:rowOff>0</xdr:rowOff>
              </from>
              <to>
                <xdr:col>26</xdr:col>
                <xdr:colOff>685800</xdr:colOff>
                <xdr:row>102</xdr:row>
                <xdr:rowOff>0</xdr:rowOff>
              </to>
            </anchor>
          </objectPr>
        </oleObject>
      </mc:Choice>
      <mc:Fallback>
        <oleObject progId="Equation.3" shapeId="7175" r:id="rId9"/>
      </mc:Fallback>
    </mc:AlternateContent>
    <mc:AlternateContent xmlns:mc="http://schemas.openxmlformats.org/markup-compatibility/2006">
      <mc:Choice Requires="x14">
        <oleObject progId="Equation.3" shapeId="7177" r:id="rId11">
          <objectPr defaultSize="0" autoPict="0" r:id="rId12">
            <anchor moveWithCells="1">
              <from>
                <xdr:col>19</xdr:col>
                <xdr:colOff>0</xdr:colOff>
                <xdr:row>110</xdr:row>
                <xdr:rowOff>228600</xdr:rowOff>
              </from>
              <to>
                <xdr:col>25</xdr:col>
                <xdr:colOff>1082040</xdr:colOff>
                <xdr:row>142</xdr:row>
                <xdr:rowOff>0</xdr:rowOff>
              </to>
            </anchor>
          </objectPr>
        </oleObject>
      </mc:Choice>
      <mc:Fallback>
        <oleObject progId="Equation.3" shapeId="7177" r:id="rId11"/>
      </mc:Fallback>
    </mc:AlternateContent>
  </oleObjects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60F1-BC51-4203-B115-210E646A53AB}">
  <dimension ref="C47:BX77"/>
  <sheetViews>
    <sheetView topLeftCell="A43" zoomScale="120" zoomScaleNormal="120" workbookViewId="0">
      <selection activeCell="AM48" sqref="AM48"/>
    </sheetView>
  </sheetViews>
  <sheetFormatPr defaultColWidth="2.296875" defaultRowHeight="13.95" customHeight="1"/>
  <sheetData>
    <row r="47" spans="3:17" ht="13.95" customHeight="1">
      <c r="C47" t="s">
        <v>774</v>
      </c>
      <c r="M47">
        <v>0</v>
      </c>
      <c r="Q47" t="s">
        <v>775</v>
      </c>
    </row>
    <row r="48" spans="3:17" ht="13.95" customHeight="1">
      <c r="M48">
        <v>1</v>
      </c>
      <c r="Q48" t="s">
        <v>777</v>
      </c>
    </row>
    <row r="49" spans="3:76" ht="13.95" customHeight="1">
      <c r="M49">
        <v>2</v>
      </c>
      <c r="Q49" t="s">
        <v>776</v>
      </c>
    </row>
    <row r="50" spans="3:76" ht="13.95" customHeight="1">
      <c r="M50">
        <v>3</v>
      </c>
      <c r="Q50" t="s">
        <v>778</v>
      </c>
    </row>
    <row r="51" spans="3:76" ht="13.95" customHeight="1" thickBot="1"/>
    <row r="52" spans="3:76" ht="13.95" customHeight="1">
      <c r="C52" s="379" t="s">
        <v>772</v>
      </c>
      <c r="D52" s="380"/>
      <c r="E52" s="380"/>
      <c r="F52" s="380"/>
      <c r="G52" s="380"/>
      <c r="H52" s="380"/>
      <c r="I52" s="380"/>
      <c r="J52" s="380"/>
      <c r="K52" s="380"/>
      <c r="L52" s="381"/>
      <c r="M52" s="394">
        <v>0</v>
      </c>
      <c r="N52" s="395"/>
      <c r="O52" s="395"/>
      <c r="P52" s="396"/>
      <c r="Q52" s="394">
        <v>0</v>
      </c>
      <c r="R52" s="395"/>
      <c r="S52" s="395"/>
      <c r="T52" s="396"/>
      <c r="U52" s="394">
        <v>0</v>
      </c>
      <c r="V52" s="395"/>
      <c r="W52" s="395"/>
      <c r="X52" s="396"/>
      <c r="Y52" s="394">
        <v>0</v>
      </c>
      <c r="Z52" s="395"/>
      <c r="AA52" s="395"/>
      <c r="AB52" s="396"/>
      <c r="AC52" s="394">
        <v>1</v>
      </c>
      <c r="AD52" s="395"/>
      <c r="AE52" s="395"/>
      <c r="AF52" s="396"/>
      <c r="AG52" s="394">
        <v>1</v>
      </c>
      <c r="AH52" s="395"/>
      <c r="AI52" s="395"/>
      <c r="AJ52" s="396"/>
      <c r="AK52" s="394">
        <v>1</v>
      </c>
      <c r="AL52" s="395"/>
      <c r="AM52" s="395"/>
      <c r="AN52" s="396"/>
      <c r="AO52" s="394">
        <v>1</v>
      </c>
      <c r="AP52" s="395"/>
      <c r="AQ52" s="395"/>
      <c r="AR52" s="396"/>
      <c r="AS52" s="394">
        <v>2</v>
      </c>
      <c r="AT52" s="395"/>
      <c r="AU52" s="395"/>
      <c r="AV52" s="396"/>
      <c r="AW52" s="394">
        <v>2</v>
      </c>
      <c r="AX52" s="395"/>
      <c r="AY52" s="395"/>
      <c r="AZ52" s="396"/>
      <c r="BA52" s="394">
        <v>2</v>
      </c>
      <c r="BB52" s="395"/>
      <c r="BC52" s="395"/>
      <c r="BD52" s="396"/>
      <c r="BE52" s="394">
        <v>2</v>
      </c>
      <c r="BF52" s="395"/>
      <c r="BG52" s="395"/>
      <c r="BH52" s="396"/>
      <c r="BI52" s="394">
        <v>3</v>
      </c>
      <c r="BJ52" s="395"/>
      <c r="BK52" s="395"/>
      <c r="BL52" s="396"/>
      <c r="BM52" s="394">
        <v>3</v>
      </c>
      <c r="BN52" s="395"/>
      <c r="BO52" s="395"/>
      <c r="BP52" s="396"/>
      <c r="BQ52" s="394">
        <v>3</v>
      </c>
      <c r="BR52" s="395"/>
      <c r="BS52" s="395"/>
      <c r="BT52" s="396"/>
      <c r="BU52" s="394">
        <v>3</v>
      </c>
      <c r="BV52" s="395"/>
      <c r="BW52" s="395"/>
      <c r="BX52" s="396"/>
    </row>
    <row r="53" spans="3:76" ht="13.95" customHeight="1">
      <c r="C53" s="363" t="s">
        <v>773</v>
      </c>
      <c r="D53" s="364"/>
      <c r="E53" s="364"/>
      <c r="F53" s="364"/>
      <c r="G53" s="364"/>
      <c r="H53" s="364"/>
      <c r="I53" s="364"/>
      <c r="J53" s="364"/>
      <c r="K53" s="364"/>
      <c r="L53" s="365"/>
      <c r="M53" s="397">
        <v>0</v>
      </c>
      <c r="N53" s="398"/>
      <c r="O53" s="398"/>
      <c r="P53" s="399"/>
      <c r="Q53" s="397">
        <v>1</v>
      </c>
      <c r="R53" s="398"/>
      <c r="S53" s="398"/>
      <c r="T53" s="399"/>
      <c r="U53" s="397">
        <v>2</v>
      </c>
      <c r="V53" s="398"/>
      <c r="W53" s="398"/>
      <c r="X53" s="399"/>
      <c r="Y53" s="397">
        <v>3</v>
      </c>
      <c r="Z53" s="398"/>
      <c r="AA53" s="398"/>
      <c r="AB53" s="399"/>
      <c r="AC53" s="397">
        <v>0</v>
      </c>
      <c r="AD53" s="398"/>
      <c r="AE53" s="398"/>
      <c r="AF53" s="399"/>
      <c r="AG53" s="397">
        <v>1</v>
      </c>
      <c r="AH53" s="398"/>
      <c r="AI53" s="398"/>
      <c r="AJ53" s="399"/>
      <c r="AK53" s="397">
        <v>2</v>
      </c>
      <c r="AL53" s="398"/>
      <c r="AM53" s="398"/>
      <c r="AN53" s="399"/>
      <c r="AO53" s="397">
        <v>3</v>
      </c>
      <c r="AP53" s="398"/>
      <c r="AQ53" s="398"/>
      <c r="AR53" s="399"/>
      <c r="AS53" s="397">
        <v>0</v>
      </c>
      <c r="AT53" s="398"/>
      <c r="AU53" s="398"/>
      <c r="AV53" s="399"/>
      <c r="AW53" s="397">
        <v>1</v>
      </c>
      <c r="AX53" s="398"/>
      <c r="AY53" s="398"/>
      <c r="AZ53" s="399"/>
      <c r="BA53" s="397">
        <v>2</v>
      </c>
      <c r="BB53" s="398"/>
      <c r="BC53" s="398"/>
      <c r="BD53" s="399"/>
      <c r="BE53" s="397">
        <v>3</v>
      </c>
      <c r="BF53" s="398"/>
      <c r="BG53" s="398"/>
      <c r="BH53" s="399"/>
      <c r="BI53" s="397">
        <v>0</v>
      </c>
      <c r="BJ53" s="398"/>
      <c r="BK53" s="398"/>
      <c r="BL53" s="399"/>
      <c r="BM53" s="397">
        <v>1</v>
      </c>
      <c r="BN53" s="398"/>
      <c r="BO53" s="398"/>
      <c r="BP53" s="399"/>
      <c r="BQ53" s="397">
        <v>2</v>
      </c>
      <c r="BR53" s="398"/>
      <c r="BS53" s="398"/>
      <c r="BT53" s="399"/>
      <c r="BU53" s="397">
        <v>3</v>
      </c>
      <c r="BV53" s="398"/>
      <c r="BW53" s="398"/>
      <c r="BX53" s="399"/>
    </row>
    <row r="54" spans="3:76" ht="13.95" customHeight="1" thickBot="1">
      <c r="C54" s="387" t="s">
        <v>750</v>
      </c>
      <c r="D54" s="388"/>
      <c r="E54" s="388"/>
      <c r="F54" s="388"/>
      <c r="G54" s="388"/>
      <c r="H54" s="388"/>
      <c r="I54" s="388"/>
      <c r="J54" s="388"/>
      <c r="K54" s="388"/>
      <c r="L54" s="389"/>
      <c r="M54" s="390" t="s">
        <v>770</v>
      </c>
      <c r="N54" s="391"/>
      <c r="O54" s="392" t="s">
        <v>771</v>
      </c>
      <c r="P54" s="393"/>
      <c r="Q54" s="390" t="s">
        <v>770</v>
      </c>
      <c r="R54" s="391"/>
      <c r="S54" s="392" t="s">
        <v>771</v>
      </c>
      <c r="T54" s="393"/>
      <c r="U54" s="390" t="s">
        <v>770</v>
      </c>
      <c r="V54" s="391"/>
      <c r="W54" s="392" t="s">
        <v>771</v>
      </c>
      <c r="X54" s="393"/>
      <c r="Y54" s="390" t="s">
        <v>770</v>
      </c>
      <c r="Z54" s="391"/>
      <c r="AA54" s="392" t="s">
        <v>771</v>
      </c>
      <c r="AB54" s="393"/>
      <c r="AC54" s="390" t="s">
        <v>770</v>
      </c>
      <c r="AD54" s="391"/>
      <c r="AE54" s="392" t="s">
        <v>771</v>
      </c>
      <c r="AF54" s="393"/>
      <c r="AG54" s="390" t="s">
        <v>770</v>
      </c>
      <c r="AH54" s="391"/>
      <c r="AI54" s="392" t="s">
        <v>771</v>
      </c>
      <c r="AJ54" s="393"/>
      <c r="AK54" s="390" t="s">
        <v>770</v>
      </c>
      <c r="AL54" s="391"/>
      <c r="AM54" s="392" t="s">
        <v>771</v>
      </c>
      <c r="AN54" s="393"/>
      <c r="AO54" s="390" t="s">
        <v>770</v>
      </c>
      <c r="AP54" s="391"/>
      <c r="AQ54" s="392" t="s">
        <v>771</v>
      </c>
      <c r="AR54" s="393"/>
      <c r="AS54" s="390" t="s">
        <v>770</v>
      </c>
      <c r="AT54" s="391"/>
      <c r="AU54" s="392" t="s">
        <v>771</v>
      </c>
      <c r="AV54" s="393"/>
      <c r="AW54" s="390" t="s">
        <v>770</v>
      </c>
      <c r="AX54" s="391"/>
      <c r="AY54" s="392" t="s">
        <v>771</v>
      </c>
      <c r="AZ54" s="393"/>
      <c r="BA54" s="390" t="s">
        <v>770</v>
      </c>
      <c r="BB54" s="391"/>
      <c r="BC54" s="392" t="s">
        <v>771</v>
      </c>
      <c r="BD54" s="393"/>
      <c r="BE54" s="390" t="s">
        <v>770</v>
      </c>
      <c r="BF54" s="391"/>
      <c r="BG54" s="392" t="s">
        <v>771</v>
      </c>
      <c r="BH54" s="393"/>
      <c r="BI54" s="390" t="s">
        <v>770</v>
      </c>
      <c r="BJ54" s="391"/>
      <c r="BK54" s="392" t="s">
        <v>771</v>
      </c>
      <c r="BL54" s="393"/>
      <c r="BM54" s="390" t="s">
        <v>770</v>
      </c>
      <c r="BN54" s="391"/>
      <c r="BO54" s="392" t="s">
        <v>771</v>
      </c>
      <c r="BP54" s="393"/>
      <c r="BQ54" s="390" t="s">
        <v>770</v>
      </c>
      <c r="BR54" s="391"/>
      <c r="BS54" s="392" t="s">
        <v>771</v>
      </c>
      <c r="BT54" s="393"/>
      <c r="BU54" s="390" t="s">
        <v>770</v>
      </c>
      <c r="BV54" s="391"/>
      <c r="BW54" s="392" t="s">
        <v>771</v>
      </c>
      <c r="BX54" s="393"/>
    </row>
    <row r="55" spans="3:76" ht="13.95" customHeight="1">
      <c r="C55" s="379" t="s">
        <v>751</v>
      </c>
      <c r="D55" s="380"/>
      <c r="E55" s="380"/>
      <c r="F55" s="380"/>
      <c r="G55" s="380"/>
      <c r="H55" s="380"/>
      <c r="I55" s="380"/>
      <c r="J55" s="380"/>
      <c r="K55" s="380"/>
      <c r="L55" s="381"/>
      <c r="M55" s="400">
        <v>1</v>
      </c>
      <c r="N55" s="401"/>
      <c r="O55" s="385">
        <v>0.5</v>
      </c>
      <c r="P55" s="386"/>
      <c r="Q55" s="400">
        <v>1</v>
      </c>
      <c r="R55" s="401"/>
      <c r="S55" s="385">
        <v>0.5</v>
      </c>
      <c r="T55" s="386"/>
      <c r="U55" s="409" t="s">
        <v>781</v>
      </c>
      <c r="V55" s="410"/>
      <c r="W55" s="410"/>
      <c r="X55" s="411"/>
      <c r="Y55" s="405">
        <v>1</v>
      </c>
      <c r="Z55" s="385"/>
      <c r="AA55" s="382">
        <v>1</v>
      </c>
      <c r="AB55" s="383"/>
      <c r="AC55" s="405">
        <v>1</v>
      </c>
      <c r="AD55" s="385"/>
      <c r="AE55" s="385">
        <v>0.5</v>
      </c>
      <c r="AF55" s="386"/>
      <c r="AG55" s="405">
        <v>1</v>
      </c>
      <c r="AH55" s="385"/>
      <c r="AI55" s="385">
        <v>0.5</v>
      </c>
      <c r="AJ55" s="386"/>
      <c r="AK55" s="409" t="s">
        <v>781</v>
      </c>
      <c r="AL55" s="410"/>
      <c r="AM55" s="410"/>
      <c r="AN55" s="411"/>
      <c r="AO55" s="405">
        <v>1</v>
      </c>
      <c r="AP55" s="385"/>
      <c r="AQ55" s="382">
        <v>1</v>
      </c>
      <c r="AR55" s="383"/>
      <c r="AS55" s="384">
        <v>0.5</v>
      </c>
      <c r="AT55" s="382"/>
      <c r="AU55" s="385">
        <v>0.5</v>
      </c>
      <c r="AV55" s="386"/>
      <c r="AW55" s="384">
        <v>0.5</v>
      </c>
      <c r="AX55" s="382"/>
      <c r="AY55" s="385">
        <v>0.5</v>
      </c>
      <c r="AZ55" s="386"/>
      <c r="BA55" s="384">
        <v>0.5</v>
      </c>
      <c r="BB55" s="382"/>
      <c r="BC55" s="453">
        <v>0.25</v>
      </c>
      <c r="BD55" s="454"/>
      <c r="BE55" s="384">
        <v>0.5</v>
      </c>
      <c r="BF55" s="382"/>
      <c r="BG55" s="382">
        <v>1</v>
      </c>
      <c r="BH55" s="383"/>
      <c r="BI55" s="409" t="s">
        <v>781</v>
      </c>
      <c r="BJ55" s="410"/>
      <c r="BK55" s="410"/>
      <c r="BL55" s="411"/>
      <c r="BM55" s="409" t="s">
        <v>781</v>
      </c>
      <c r="BN55" s="410"/>
      <c r="BO55" s="410"/>
      <c r="BP55" s="411"/>
      <c r="BQ55" s="409" t="s">
        <v>781</v>
      </c>
      <c r="BR55" s="410"/>
      <c r="BS55" s="410"/>
      <c r="BT55" s="411"/>
      <c r="BU55" s="384">
        <v>2</v>
      </c>
      <c r="BV55" s="382"/>
      <c r="BW55" s="382">
        <v>1</v>
      </c>
      <c r="BX55" s="383"/>
    </row>
    <row r="56" spans="3:76" ht="13.95" customHeight="1">
      <c r="C56" s="369" t="s">
        <v>785</v>
      </c>
      <c r="D56" s="370"/>
      <c r="E56" s="370"/>
      <c r="F56" s="370"/>
      <c r="G56" s="370"/>
      <c r="H56" s="370"/>
      <c r="I56" s="370"/>
      <c r="J56" s="370"/>
      <c r="K56" s="370"/>
      <c r="L56" s="371"/>
      <c r="M56" s="376">
        <f>M55</f>
        <v>1</v>
      </c>
      <c r="N56" s="377"/>
      <c r="O56" s="377"/>
      <c r="P56" s="378"/>
      <c r="Q56" s="376">
        <f>Q55</f>
        <v>1</v>
      </c>
      <c r="R56" s="377"/>
      <c r="S56" s="377"/>
      <c r="T56" s="378"/>
      <c r="U56" s="412"/>
      <c r="V56" s="413"/>
      <c r="W56" s="413"/>
      <c r="X56" s="414"/>
      <c r="Y56" s="376">
        <f>Y55</f>
        <v>1</v>
      </c>
      <c r="Z56" s="377"/>
      <c r="AA56" s="377"/>
      <c r="AB56" s="378"/>
      <c r="AC56" s="376">
        <f>AC55</f>
        <v>1</v>
      </c>
      <c r="AD56" s="377"/>
      <c r="AE56" s="377"/>
      <c r="AF56" s="378"/>
      <c r="AG56" s="376">
        <f>AG55</f>
        <v>1</v>
      </c>
      <c r="AH56" s="377"/>
      <c r="AI56" s="377"/>
      <c r="AJ56" s="378"/>
      <c r="AK56" s="412"/>
      <c r="AL56" s="413"/>
      <c r="AM56" s="413"/>
      <c r="AN56" s="414"/>
      <c r="AO56" s="376">
        <f>AO55</f>
        <v>1</v>
      </c>
      <c r="AP56" s="377"/>
      <c r="AQ56" s="377"/>
      <c r="AR56" s="378"/>
      <c r="AS56" s="376">
        <f>AS55</f>
        <v>0.5</v>
      </c>
      <c r="AT56" s="377"/>
      <c r="AU56" s="377"/>
      <c r="AV56" s="378"/>
      <c r="AW56" s="376">
        <f>AW55</f>
        <v>0.5</v>
      </c>
      <c r="AX56" s="377"/>
      <c r="AY56" s="377"/>
      <c r="AZ56" s="378"/>
      <c r="BA56" s="376">
        <f>BA55</f>
        <v>0.5</v>
      </c>
      <c r="BB56" s="377"/>
      <c r="BC56" s="377"/>
      <c r="BD56" s="378"/>
      <c r="BE56" s="376">
        <f>BE55</f>
        <v>0.5</v>
      </c>
      <c r="BF56" s="377"/>
      <c r="BG56" s="377"/>
      <c r="BH56" s="378"/>
      <c r="BI56" s="412"/>
      <c r="BJ56" s="413"/>
      <c r="BK56" s="413"/>
      <c r="BL56" s="414"/>
      <c r="BM56" s="412"/>
      <c r="BN56" s="413"/>
      <c r="BO56" s="413"/>
      <c r="BP56" s="414"/>
      <c r="BQ56" s="412"/>
      <c r="BR56" s="413"/>
      <c r="BS56" s="413"/>
      <c r="BT56" s="414"/>
      <c r="BU56" s="376">
        <f>BU55</f>
        <v>2</v>
      </c>
      <c r="BV56" s="377"/>
      <c r="BW56" s="377"/>
      <c r="BX56" s="378"/>
    </row>
    <row r="57" spans="3:76" ht="13.95" customHeight="1">
      <c r="C57" s="369" t="s">
        <v>782</v>
      </c>
      <c r="D57" s="370"/>
      <c r="E57" s="370"/>
      <c r="F57" s="370"/>
      <c r="G57" s="370"/>
      <c r="H57" s="370"/>
      <c r="I57" s="370"/>
      <c r="J57" s="370"/>
      <c r="K57" s="370"/>
      <c r="L57" s="371"/>
      <c r="M57" s="376">
        <f>O55/M55</f>
        <v>0.5</v>
      </c>
      <c r="N57" s="377"/>
      <c r="O57" s="377"/>
      <c r="P57" s="378"/>
      <c r="Q57" s="376">
        <f>S55/Q55</f>
        <v>0.5</v>
      </c>
      <c r="R57" s="377"/>
      <c r="S57" s="377"/>
      <c r="T57" s="378"/>
      <c r="U57" s="412"/>
      <c r="V57" s="413"/>
      <c r="W57" s="413"/>
      <c r="X57" s="414"/>
      <c r="Y57" s="376">
        <f>AA55/Y55</f>
        <v>1</v>
      </c>
      <c r="Z57" s="377"/>
      <c r="AA57" s="377"/>
      <c r="AB57" s="378"/>
      <c r="AC57" s="376">
        <f>AE55/AC55</f>
        <v>0.5</v>
      </c>
      <c r="AD57" s="377"/>
      <c r="AE57" s="377"/>
      <c r="AF57" s="378"/>
      <c r="AG57" s="376">
        <f>AI55/AG55</f>
        <v>0.5</v>
      </c>
      <c r="AH57" s="377"/>
      <c r="AI57" s="377"/>
      <c r="AJ57" s="378"/>
      <c r="AK57" s="412"/>
      <c r="AL57" s="413"/>
      <c r="AM57" s="413"/>
      <c r="AN57" s="414"/>
      <c r="AO57" s="376">
        <f>AQ55/AO55</f>
        <v>1</v>
      </c>
      <c r="AP57" s="377"/>
      <c r="AQ57" s="377"/>
      <c r="AR57" s="378"/>
      <c r="AS57" s="376">
        <f>AU55/AS55</f>
        <v>1</v>
      </c>
      <c r="AT57" s="377"/>
      <c r="AU57" s="377"/>
      <c r="AV57" s="378"/>
      <c r="AW57" s="376">
        <f>AY55/AW55</f>
        <v>1</v>
      </c>
      <c r="AX57" s="377"/>
      <c r="AY57" s="377"/>
      <c r="AZ57" s="378"/>
      <c r="BA57" s="376">
        <f>BC55/BA55</f>
        <v>0.5</v>
      </c>
      <c r="BB57" s="377"/>
      <c r="BC57" s="377"/>
      <c r="BD57" s="378"/>
      <c r="BE57" s="376">
        <f>BG55/BE55</f>
        <v>2</v>
      </c>
      <c r="BF57" s="377"/>
      <c r="BG57" s="377"/>
      <c r="BH57" s="378"/>
      <c r="BI57" s="412"/>
      <c r="BJ57" s="413"/>
      <c r="BK57" s="413"/>
      <c r="BL57" s="414"/>
      <c r="BM57" s="412"/>
      <c r="BN57" s="413"/>
      <c r="BO57" s="413"/>
      <c r="BP57" s="414"/>
      <c r="BQ57" s="412"/>
      <c r="BR57" s="413"/>
      <c r="BS57" s="413"/>
      <c r="BT57" s="414"/>
      <c r="BU57" s="376">
        <f>BW55/BU55</f>
        <v>0.5</v>
      </c>
      <c r="BV57" s="377"/>
      <c r="BW57" s="377"/>
      <c r="BX57" s="378"/>
    </row>
    <row r="58" spans="3:76" ht="13.95" customHeight="1">
      <c r="C58" s="363" t="s">
        <v>494</v>
      </c>
      <c r="D58" s="364"/>
      <c r="E58" s="364"/>
      <c r="F58" s="364"/>
      <c r="G58" s="364"/>
      <c r="H58" s="364"/>
      <c r="I58" s="364"/>
      <c r="J58" s="364"/>
      <c r="K58" s="364"/>
      <c r="L58" s="365"/>
      <c r="M58" s="366">
        <v>1</v>
      </c>
      <c r="N58" s="367"/>
      <c r="O58" s="367">
        <v>2</v>
      </c>
      <c r="P58" s="368"/>
      <c r="Q58" s="366">
        <v>1</v>
      </c>
      <c r="R58" s="367"/>
      <c r="S58" s="367">
        <v>2</v>
      </c>
      <c r="T58" s="368"/>
      <c r="U58" s="412"/>
      <c r="V58" s="413"/>
      <c r="W58" s="413"/>
      <c r="X58" s="414"/>
      <c r="Y58" s="366">
        <v>1</v>
      </c>
      <c r="Z58" s="367"/>
      <c r="AA58" s="402">
        <v>2</v>
      </c>
      <c r="AB58" s="403"/>
      <c r="AC58" s="366">
        <v>1</v>
      </c>
      <c r="AD58" s="367"/>
      <c r="AE58" s="367">
        <v>2</v>
      </c>
      <c r="AF58" s="368"/>
      <c r="AG58" s="366">
        <v>1</v>
      </c>
      <c r="AH58" s="367"/>
      <c r="AI58" s="367">
        <v>2</v>
      </c>
      <c r="AJ58" s="368"/>
      <c r="AK58" s="412"/>
      <c r="AL58" s="413"/>
      <c r="AM58" s="413"/>
      <c r="AN58" s="414"/>
      <c r="AO58" s="366">
        <v>1</v>
      </c>
      <c r="AP58" s="367"/>
      <c r="AQ58" s="402">
        <v>2</v>
      </c>
      <c r="AR58" s="403"/>
      <c r="AS58" s="404">
        <v>1</v>
      </c>
      <c r="AT58" s="402"/>
      <c r="AU58" s="367">
        <v>2</v>
      </c>
      <c r="AV58" s="368"/>
      <c r="AW58" s="404">
        <v>1</v>
      </c>
      <c r="AX58" s="402"/>
      <c r="AY58" s="367">
        <v>2</v>
      </c>
      <c r="AZ58" s="368"/>
      <c r="BA58" s="404">
        <v>1</v>
      </c>
      <c r="BB58" s="402"/>
      <c r="BC58" s="402">
        <v>2</v>
      </c>
      <c r="BD58" s="403"/>
      <c r="BE58" s="404">
        <v>1</v>
      </c>
      <c r="BF58" s="402"/>
      <c r="BG58" s="402">
        <v>2</v>
      </c>
      <c r="BH58" s="403"/>
      <c r="BI58" s="412"/>
      <c r="BJ58" s="413"/>
      <c r="BK58" s="413"/>
      <c r="BL58" s="414"/>
      <c r="BM58" s="412"/>
      <c r="BN58" s="413"/>
      <c r="BO58" s="413"/>
      <c r="BP58" s="414"/>
      <c r="BQ58" s="412"/>
      <c r="BR58" s="413"/>
      <c r="BS58" s="413"/>
      <c r="BT58" s="414"/>
      <c r="BU58" s="404">
        <v>1</v>
      </c>
      <c r="BV58" s="402"/>
      <c r="BW58" s="402">
        <v>2</v>
      </c>
      <c r="BX58" s="403"/>
    </row>
    <row r="59" spans="3:76" ht="13.95" customHeight="1">
      <c r="C59" s="369" t="s">
        <v>783</v>
      </c>
      <c r="D59" s="370"/>
      <c r="E59" s="370"/>
      <c r="F59" s="370"/>
      <c r="G59" s="370"/>
      <c r="H59" s="370"/>
      <c r="I59" s="370"/>
      <c r="J59" s="370"/>
      <c r="K59" s="370"/>
      <c r="L59" s="371"/>
      <c r="M59" s="376">
        <f>M55*M58</f>
        <v>1</v>
      </c>
      <c r="N59" s="377"/>
      <c r="O59" s="377"/>
      <c r="P59" s="378"/>
      <c r="Q59" s="376">
        <f>Q55*Q58</f>
        <v>1</v>
      </c>
      <c r="R59" s="377"/>
      <c r="S59" s="377"/>
      <c r="T59" s="378"/>
      <c r="U59" s="412"/>
      <c r="V59" s="413"/>
      <c r="W59" s="413"/>
      <c r="X59" s="414"/>
      <c r="Y59" s="376">
        <f>Y55*Y58</f>
        <v>1</v>
      </c>
      <c r="Z59" s="377"/>
      <c r="AA59" s="377"/>
      <c r="AB59" s="378"/>
      <c r="AC59" s="376">
        <f>AC55*AC58</f>
        <v>1</v>
      </c>
      <c r="AD59" s="377"/>
      <c r="AE59" s="377"/>
      <c r="AF59" s="378"/>
      <c r="AG59" s="376">
        <f>AG55*AG58</f>
        <v>1</v>
      </c>
      <c r="AH59" s="377"/>
      <c r="AI59" s="377"/>
      <c r="AJ59" s="378"/>
      <c r="AK59" s="412"/>
      <c r="AL59" s="413"/>
      <c r="AM59" s="413"/>
      <c r="AN59" s="414"/>
      <c r="AO59" s="376">
        <f>AO55*AO58</f>
        <v>1</v>
      </c>
      <c r="AP59" s="377"/>
      <c r="AQ59" s="377"/>
      <c r="AR59" s="378"/>
      <c r="AS59" s="376">
        <f>AS55*AS58</f>
        <v>0.5</v>
      </c>
      <c r="AT59" s="377"/>
      <c r="AU59" s="377"/>
      <c r="AV59" s="378"/>
      <c r="AW59" s="376">
        <f>AW55*AW58</f>
        <v>0.5</v>
      </c>
      <c r="AX59" s="377"/>
      <c r="AY59" s="377"/>
      <c r="AZ59" s="378"/>
      <c r="BA59" s="376">
        <f>BA55*BA58</f>
        <v>0.5</v>
      </c>
      <c r="BB59" s="377"/>
      <c r="BC59" s="377"/>
      <c r="BD59" s="378"/>
      <c r="BE59" s="376">
        <f>BE55*BE58</f>
        <v>0.5</v>
      </c>
      <c r="BF59" s="377"/>
      <c r="BG59" s="377"/>
      <c r="BH59" s="378"/>
      <c r="BI59" s="412"/>
      <c r="BJ59" s="413"/>
      <c r="BK59" s="413"/>
      <c r="BL59" s="414"/>
      <c r="BM59" s="412"/>
      <c r="BN59" s="413"/>
      <c r="BO59" s="413"/>
      <c r="BP59" s="414"/>
      <c r="BQ59" s="412"/>
      <c r="BR59" s="413"/>
      <c r="BS59" s="413"/>
      <c r="BT59" s="414"/>
      <c r="BU59" s="376">
        <f>BU55*BU58</f>
        <v>2</v>
      </c>
      <c r="BV59" s="377"/>
      <c r="BW59" s="377"/>
      <c r="BX59" s="378"/>
    </row>
    <row r="60" spans="3:76" ht="13.95" customHeight="1">
      <c r="C60" s="369" t="s">
        <v>784</v>
      </c>
      <c r="D60" s="370"/>
      <c r="E60" s="370"/>
      <c r="F60" s="370"/>
      <c r="G60" s="370"/>
      <c r="H60" s="370"/>
      <c r="I60" s="370"/>
      <c r="J60" s="370"/>
      <c r="K60" s="370"/>
      <c r="L60" s="371"/>
      <c r="M60" s="376">
        <f>O55*O58</f>
        <v>1</v>
      </c>
      <c r="N60" s="377"/>
      <c r="O60" s="377"/>
      <c r="P60" s="378"/>
      <c r="Q60" s="376">
        <f>S55*S58</f>
        <v>1</v>
      </c>
      <c r="R60" s="377"/>
      <c r="S60" s="377"/>
      <c r="T60" s="378"/>
      <c r="U60" s="412"/>
      <c r="V60" s="413"/>
      <c r="W60" s="413"/>
      <c r="X60" s="414"/>
      <c r="Y60" s="376">
        <f>AA55*AA58</f>
        <v>2</v>
      </c>
      <c r="Z60" s="377"/>
      <c r="AA60" s="377"/>
      <c r="AB60" s="378"/>
      <c r="AC60" s="376">
        <f>AE55*AE58</f>
        <v>1</v>
      </c>
      <c r="AD60" s="377"/>
      <c r="AE60" s="377"/>
      <c r="AF60" s="378"/>
      <c r="AG60" s="376">
        <f>AI55*AI58</f>
        <v>1</v>
      </c>
      <c r="AH60" s="377"/>
      <c r="AI60" s="377"/>
      <c r="AJ60" s="378"/>
      <c r="AK60" s="412"/>
      <c r="AL60" s="413"/>
      <c r="AM60" s="413"/>
      <c r="AN60" s="414"/>
      <c r="AO60" s="376">
        <f>AQ55*AQ58</f>
        <v>2</v>
      </c>
      <c r="AP60" s="377"/>
      <c r="AQ60" s="377"/>
      <c r="AR60" s="378"/>
      <c r="AS60" s="376">
        <f>AU55*AU58</f>
        <v>1</v>
      </c>
      <c r="AT60" s="377"/>
      <c r="AU60" s="377"/>
      <c r="AV60" s="378"/>
      <c r="AW60" s="376">
        <f>AY55*AY58</f>
        <v>1</v>
      </c>
      <c r="AX60" s="377"/>
      <c r="AY60" s="377"/>
      <c r="AZ60" s="378"/>
      <c r="BA60" s="376">
        <f>BC55*BC58</f>
        <v>0.5</v>
      </c>
      <c r="BB60" s="377"/>
      <c r="BC60" s="377"/>
      <c r="BD60" s="378"/>
      <c r="BE60" s="376">
        <f>BG55*BG58</f>
        <v>2</v>
      </c>
      <c r="BF60" s="377"/>
      <c r="BG60" s="377"/>
      <c r="BH60" s="378"/>
      <c r="BI60" s="412"/>
      <c r="BJ60" s="413"/>
      <c r="BK60" s="413"/>
      <c r="BL60" s="414"/>
      <c r="BM60" s="412"/>
      <c r="BN60" s="413"/>
      <c r="BO60" s="413"/>
      <c r="BP60" s="414"/>
      <c r="BQ60" s="412"/>
      <c r="BR60" s="413"/>
      <c r="BS60" s="413"/>
      <c r="BT60" s="414"/>
      <c r="BU60" s="376">
        <f>BW55*BW58</f>
        <v>2</v>
      </c>
      <c r="BV60" s="377"/>
      <c r="BW60" s="377"/>
      <c r="BX60" s="378"/>
    </row>
    <row r="61" spans="3:76" ht="13.95" customHeight="1">
      <c r="C61" s="369" t="s">
        <v>779</v>
      </c>
      <c r="D61" s="370"/>
      <c r="E61" s="370"/>
      <c r="F61" s="370"/>
      <c r="G61" s="370"/>
      <c r="H61" s="370"/>
      <c r="I61" s="370"/>
      <c r="J61" s="370"/>
      <c r="K61" s="370"/>
      <c r="L61" s="371"/>
      <c r="M61" s="372" t="s">
        <v>780</v>
      </c>
      <c r="N61" s="373"/>
      <c r="O61" s="374" t="s">
        <v>780</v>
      </c>
      <c r="P61" s="375"/>
      <c r="Q61" s="372" t="s">
        <v>780</v>
      </c>
      <c r="R61" s="373"/>
      <c r="S61" s="431" t="s">
        <v>268</v>
      </c>
      <c r="T61" s="429"/>
      <c r="U61" s="412"/>
      <c r="V61" s="413"/>
      <c r="W61" s="413"/>
      <c r="X61" s="414"/>
      <c r="Y61" s="372" t="s">
        <v>780</v>
      </c>
      <c r="Z61" s="430"/>
      <c r="AA61" s="424" t="s">
        <v>780</v>
      </c>
      <c r="AB61" s="425"/>
      <c r="AC61" s="426" t="s">
        <v>268</v>
      </c>
      <c r="AD61" s="427"/>
      <c r="AE61" s="424" t="s">
        <v>780</v>
      </c>
      <c r="AF61" s="425"/>
      <c r="AG61" s="426" t="s">
        <v>268</v>
      </c>
      <c r="AH61" s="427"/>
      <c r="AI61" s="428" t="s">
        <v>268</v>
      </c>
      <c r="AJ61" s="429"/>
      <c r="AK61" s="412"/>
      <c r="AL61" s="413"/>
      <c r="AM61" s="413"/>
      <c r="AN61" s="414"/>
      <c r="AO61" s="426" t="s">
        <v>268</v>
      </c>
      <c r="AP61" s="427"/>
      <c r="AQ61" s="424" t="s">
        <v>780</v>
      </c>
      <c r="AR61" s="425"/>
      <c r="AS61" s="426" t="s">
        <v>124</v>
      </c>
      <c r="AT61" s="427"/>
      <c r="AU61" s="424" t="s">
        <v>780</v>
      </c>
      <c r="AV61" s="425"/>
      <c r="AW61" s="426" t="s">
        <v>124</v>
      </c>
      <c r="AX61" s="427"/>
      <c r="AY61" s="428" t="s">
        <v>268</v>
      </c>
      <c r="AZ61" s="429"/>
      <c r="BA61" s="426" t="s">
        <v>124</v>
      </c>
      <c r="BB61" s="427"/>
      <c r="BC61" s="428" t="s">
        <v>124</v>
      </c>
      <c r="BD61" s="429"/>
      <c r="BE61" s="426" t="s">
        <v>124</v>
      </c>
      <c r="BF61" s="427"/>
      <c r="BG61" s="424" t="s">
        <v>780</v>
      </c>
      <c r="BH61" s="425"/>
      <c r="BI61" s="412"/>
      <c r="BJ61" s="413"/>
      <c r="BK61" s="413"/>
      <c r="BL61" s="414"/>
      <c r="BM61" s="412"/>
      <c r="BN61" s="413"/>
      <c r="BO61" s="413"/>
      <c r="BP61" s="414"/>
      <c r="BQ61" s="412"/>
      <c r="BR61" s="413"/>
      <c r="BS61" s="413"/>
      <c r="BT61" s="414"/>
      <c r="BU61" s="372" t="s">
        <v>780</v>
      </c>
      <c r="BV61" s="430"/>
      <c r="BW61" s="424" t="s">
        <v>780</v>
      </c>
      <c r="BX61" s="425"/>
    </row>
    <row r="62" spans="3:76" ht="13.95" customHeight="1">
      <c r="C62" s="363" t="s">
        <v>752</v>
      </c>
      <c r="D62" s="364"/>
      <c r="E62" s="364"/>
      <c r="F62" s="364"/>
      <c r="G62" s="364"/>
      <c r="H62" s="364"/>
      <c r="I62" s="364"/>
      <c r="J62" s="364"/>
      <c r="K62" s="364"/>
      <c r="L62" s="365"/>
      <c r="M62" s="366">
        <v>1</v>
      </c>
      <c r="N62" s="367"/>
      <c r="O62" s="367">
        <v>1</v>
      </c>
      <c r="P62" s="368"/>
      <c r="Q62" s="366">
        <v>1</v>
      </c>
      <c r="R62" s="367"/>
      <c r="S62" s="367">
        <v>1</v>
      </c>
      <c r="T62" s="368"/>
      <c r="U62" s="412"/>
      <c r="V62" s="413"/>
      <c r="W62" s="413"/>
      <c r="X62" s="414"/>
      <c r="Y62" s="440">
        <v>1</v>
      </c>
      <c r="Z62" s="432"/>
      <c r="AA62" s="432">
        <v>1</v>
      </c>
      <c r="AB62" s="433"/>
      <c r="AC62" s="366">
        <v>1</v>
      </c>
      <c r="AD62" s="367"/>
      <c r="AE62" s="367">
        <v>1</v>
      </c>
      <c r="AF62" s="368"/>
      <c r="AG62" s="366">
        <v>1</v>
      </c>
      <c r="AH62" s="367"/>
      <c r="AI62" s="367">
        <v>1</v>
      </c>
      <c r="AJ62" s="368"/>
      <c r="AK62" s="412"/>
      <c r="AL62" s="413"/>
      <c r="AM62" s="413"/>
      <c r="AN62" s="414"/>
      <c r="AO62" s="366">
        <v>1</v>
      </c>
      <c r="AP62" s="367"/>
      <c r="AQ62" s="367">
        <v>1</v>
      </c>
      <c r="AR62" s="368"/>
      <c r="AS62" s="440">
        <v>1</v>
      </c>
      <c r="AT62" s="432"/>
      <c r="AU62" s="432">
        <v>1</v>
      </c>
      <c r="AV62" s="433"/>
      <c r="AW62" s="440">
        <v>1</v>
      </c>
      <c r="AX62" s="432"/>
      <c r="AY62" s="432">
        <v>1</v>
      </c>
      <c r="AZ62" s="433"/>
      <c r="BA62" s="366">
        <v>1</v>
      </c>
      <c r="BB62" s="367"/>
      <c r="BC62" s="367">
        <v>1</v>
      </c>
      <c r="BD62" s="368"/>
      <c r="BE62" s="366">
        <v>1</v>
      </c>
      <c r="BF62" s="367"/>
      <c r="BG62" s="367">
        <v>1</v>
      </c>
      <c r="BH62" s="368"/>
      <c r="BI62" s="412"/>
      <c r="BJ62" s="413"/>
      <c r="BK62" s="413"/>
      <c r="BL62" s="414"/>
      <c r="BM62" s="412"/>
      <c r="BN62" s="413"/>
      <c r="BO62" s="413"/>
      <c r="BP62" s="414"/>
      <c r="BQ62" s="412"/>
      <c r="BR62" s="413"/>
      <c r="BS62" s="413"/>
      <c r="BT62" s="414"/>
      <c r="BU62" s="366">
        <v>1</v>
      </c>
      <c r="BV62" s="367"/>
      <c r="BW62" s="367">
        <v>1</v>
      </c>
      <c r="BX62" s="368"/>
    </row>
    <row r="63" spans="3:76" ht="13.95" customHeight="1">
      <c r="C63" s="363" t="s">
        <v>753</v>
      </c>
      <c r="D63" s="364"/>
      <c r="E63" s="364"/>
      <c r="F63" s="364"/>
      <c r="G63" s="364"/>
      <c r="H63" s="364"/>
      <c r="I63" s="364"/>
      <c r="J63" s="364"/>
      <c r="K63" s="364"/>
      <c r="L63" s="365"/>
      <c r="M63" s="366">
        <v>1</v>
      </c>
      <c r="N63" s="367"/>
      <c r="O63" s="432">
        <v>2</v>
      </c>
      <c r="P63" s="433"/>
      <c r="Q63" s="366">
        <v>1</v>
      </c>
      <c r="R63" s="367"/>
      <c r="S63" s="432">
        <v>2</v>
      </c>
      <c r="T63" s="433"/>
      <c r="U63" s="412"/>
      <c r="V63" s="413"/>
      <c r="W63" s="413"/>
      <c r="X63" s="414"/>
      <c r="Y63" s="434">
        <v>1</v>
      </c>
      <c r="Z63" s="435"/>
      <c r="AA63" s="436">
        <v>1</v>
      </c>
      <c r="AB63" s="437"/>
      <c r="AC63" s="366">
        <v>1</v>
      </c>
      <c r="AD63" s="367"/>
      <c r="AE63" s="432">
        <v>2</v>
      </c>
      <c r="AF63" s="433"/>
      <c r="AG63" s="366">
        <v>1</v>
      </c>
      <c r="AH63" s="367"/>
      <c r="AI63" s="432">
        <v>2</v>
      </c>
      <c r="AJ63" s="433"/>
      <c r="AK63" s="412"/>
      <c r="AL63" s="413"/>
      <c r="AM63" s="413"/>
      <c r="AN63" s="414"/>
      <c r="AO63" s="366">
        <v>1</v>
      </c>
      <c r="AP63" s="367"/>
      <c r="AQ63" s="436">
        <v>1</v>
      </c>
      <c r="AR63" s="437"/>
      <c r="AS63" s="438">
        <v>2</v>
      </c>
      <c r="AT63" s="436"/>
      <c r="AU63" s="435">
        <v>2</v>
      </c>
      <c r="AV63" s="439"/>
      <c r="AW63" s="438">
        <v>2</v>
      </c>
      <c r="AX63" s="436"/>
      <c r="AY63" s="435">
        <v>2</v>
      </c>
      <c r="AZ63" s="439"/>
      <c r="BA63" s="438">
        <v>2</v>
      </c>
      <c r="BB63" s="436"/>
      <c r="BC63" s="432">
        <v>4</v>
      </c>
      <c r="BD63" s="433"/>
      <c r="BE63" s="438">
        <v>2</v>
      </c>
      <c r="BF63" s="436"/>
      <c r="BG63" s="436">
        <v>1</v>
      </c>
      <c r="BH63" s="437"/>
      <c r="BI63" s="412"/>
      <c r="BJ63" s="413"/>
      <c r="BK63" s="413"/>
      <c r="BL63" s="414"/>
      <c r="BM63" s="412"/>
      <c r="BN63" s="413"/>
      <c r="BO63" s="413"/>
      <c r="BP63" s="414"/>
      <c r="BQ63" s="412"/>
      <c r="BR63" s="413"/>
      <c r="BS63" s="413"/>
      <c r="BT63" s="414"/>
      <c r="BU63" s="438">
        <v>0.5</v>
      </c>
      <c r="BV63" s="436"/>
      <c r="BW63" s="436">
        <v>1</v>
      </c>
      <c r="BX63" s="437"/>
    </row>
    <row r="64" spans="3:76" ht="13.95" customHeight="1">
      <c r="C64" s="421" t="s">
        <v>786</v>
      </c>
      <c r="D64" s="422"/>
      <c r="E64" s="422"/>
      <c r="F64" s="422"/>
      <c r="G64" s="422"/>
      <c r="H64" s="422"/>
      <c r="I64" s="422"/>
      <c r="J64" s="422"/>
      <c r="K64" s="422"/>
      <c r="L64" s="423"/>
      <c r="M64" s="418">
        <f>M63</f>
        <v>1</v>
      </c>
      <c r="N64" s="419"/>
      <c r="O64" s="419"/>
      <c r="P64" s="420"/>
      <c r="Q64" s="418">
        <f>Q63</f>
        <v>1</v>
      </c>
      <c r="R64" s="419"/>
      <c r="S64" s="419"/>
      <c r="T64" s="420"/>
      <c r="U64" s="412"/>
      <c r="V64" s="413"/>
      <c r="W64" s="413"/>
      <c r="X64" s="414"/>
      <c r="Y64" s="418">
        <f>Y63</f>
        <v>1</v>
      </c>
      <c r="Z64" s="419"/>
      <c r="AA64" s="419"/>
      <c r="AB64" s="420"/>
      <c r="AC64" s="418">
        <f>AC63</f>
        <v>1</v>
      </c>
      <c r="AD64" s="419"/>
      <c r="AE64" s="419"/>
      <c r="AF64" s="420"/>
      <c r="AG64" s="418">
        <f>AG63</f>
        <v>1</v>
      </c>
      <c r="AH64" s="419"/>
      <c r="AI64" s="419"/>
      <c r="AJ64" s="420"/>
      <c r="AK64" s="412"/>
      <c r="AL64" s="413"/>
      <c r="AM64" s="413"/>
      <c r="AN64" s="414"/>
      <c r="AO64" s="418">
        <f>AO63</f>
        <v>1</v>
      </c>
      <c r="AP64" s="419"/>
      <c r="AQ64" s="419"/>
      <c r="AR64" s="420"/>
      <c r="AS64" s="418">
        <f>AS63</f>
        <v>2</v>
      </c>
      <c r="AT64" s="419"/>
      <c r="AU64" s="419"/>
      <c r="AV64" s="420"/>
      <c r="AW64" s="418">
        <f>AW63</f>
        <v>2</v>
      </c>
      <c r="AX64" s="419"/>
      <c r="AY64" s="419"/>
      <c r="AZ64" s="420"/>
      <c r="BA64" s="418">
        <f>BA63</f>
        <v>2</v>
      </c>
      <c r="BB64" s="419"/>
      <c r="BC64" s="419"/>
      <c r="BD64" s="420"/>
      <c r="BE64" s="418">
        <f>BE63</f>
        <v>2</v>
      </c>
      <c r="BF64" s="419"/>
      <c r="BG64" s="419"/>
      <c r="BH64" s="420"/>
      <c r="BI64" s="412"/>
      <c r="BJ64" s="413"/>
      <c r="BK64" s="413"/>
      <c r="BL64" s="414"/>
      <c r="BM64" s="412"/>
      <c r="BN64" s="413"/>
      <c r="BO64" s="413"/>
      <c r="BP64" s="414"/>
      <c r="BQ64" s="412"/>
      <c r="BR64" s="413"/>
      <c r="BS64" s="413"/>
      <c r="BT64" s="414"/>
      <c r="BU64" s="418">
        <f>BU63</f>
        <v>0.5</v>
      </c>
      <c r="BV64" s="419"/>
      <c r="BW64" s="419"/>
      <c r="BX64" s="420"/>
    </row>
    <row r="65" spans="3:76" ht="13.95" customHeight="1" thickBot="1">
      <c r="C65" s="441" t="s">
        <v>787</v>
      </c>
      <c r="D65" s="442"/>
      <c r="E65" s="442"/>
      <c r="F65" s="442"/>
      <c r="G65" s="442"/>
      <c r="H65" s="442"/>
      <c r="I65" s="442"/>
      <c r="J65" s="442"/>
      <c r="K65" s="442"/>
      <c r="L65" s="443"/>
      <c r="M65" s="406">
        <f>O63/M63</f>
        <v>2</v>
      </c>
      <c r="N65" s="407"/>
      <c r="O65" s="407"/>
      <c r="P65" s="408"/>
      <c r="Q65" s="406">
        <f>S63/Q63</f>
        <v>2</v>
      </c>
      <c r="R65" s="407"/>
      <c r="S65" s="407"/>
      <c r="T65" s="408"/>
      <c r="U65" s="415"/>
      <c r="V65" s="416"/>
      <c r="W65" s="416"/>
      <c r="X65" s="417"/>
      <c r="Y65" s="406">
        <f>AA63/Y63</f>
        <v>1</v>
      </c>
      <c r="Z65" s="407"/>
      <c r="AA65" s="407"/>
      <c r="AB65" s="408"/>
      <c r="AC65" s="406">
        <f>AE63/AC63</f>
        <v>2</v>
      </c>
      <c r="AD65" s="407"/>
      <c r="AE65" s="407"/>
      <c r="AF65" s="408"/>
      <c r="AG65" s="406">
        <f>AI63/AG63</f>
        <v>2</v>
      </c>
      <c r="AH65" s="407"/>
      <c r="AI65" s="407"/>
      <c r="AJ65" s="408"/>
      <c r="AK65" s="415"/>
      <c r="AL65" s="416"/>
      <c r="AM65" s="416"/>
      <c r="AN65" s="417"/>
      <c r="AO65" s="406">
        <f>AQ63/AO63</f>
        <v>1</v>
      </c>
      <c r="AP65" s="407"/>
      <c r="AQ65" s="407"/>
      <c r="AR65" s="408"/>
      <c r="AS65" s="406">
        <f>AU63/AS63</f>
        <v>1</v>
      </c>
      <c r="AT65" s="407"/>
      <c r="AU65" s="407"/>
      <c r="AV65" s="408"/>
      <c r="AW65" s="406">
        <f>AY63/AW63</f>
        <v>1</v>
      </c>
      <c r="AX65" s="407"/>
      <c r="AY65" s="407"/>
      <c r="AZ65" s="408"/>
      <c r="BA65" s="406">
        <f>BC63/BA63</f>
        <v>2</v>
      </c>
      <c r="BB65" s="407"/>
      <c r="BC65" s="407"/>
      <c r="BD65" s="408"/>
      <c r="BE65" s="406">
        <f>BG63/BE63</f>
        <v>0.5</v>
      </c>
      <c r="BF65" s="407"/>
      <c r="BG65" s="407"/>
      <c r="BH65" s="408"/>
      <c r="BI65" s="415"/>
      <c r="BJ65" s="416"/>
      <c r="BK65" s="416"/>
      <c r="BL65" s="417"/>
      <c r="BM65" s="415"/>
      <c r="BN65" s="416"/>
      <c r="BO65" s="416"/>
      <c r="BP65" s="417"/>
      <c r="BQ65" s="415"/>
      <c r="BR65" s="416"/>
      <c r="BS65" s="416"/>
      <c r="BT65" s="417"/>
      <c r="BU65" s="406">
        <f>BW63/BU63</f>
        <v>2</v>
      </c>
      <c r="BV65" s="407"/>
      <c r="BW65" s="407"/>
      <c r="BX65" s="408"/>
    </row>
    <row r="66" spans="3:76" ht="13.95" customHeight="1"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47"/>
      <c r="N66" s="47"/>
      <c r="O66" s="227"/>
      <c r="P66" s="227"/>
      <c r="Q66" s="47"/>
      <c r="R66" s="47"/>
      <c r="S66" s="227"/>
      <c r="T66" s="227"/>
      <c r="U66" s="228"/>
      <c r="V66" s="228"/>
      <c r="W66" s="228"/>
      <c r="X66" s="228"/>
      <c r="Y66" s="229"/>
      <c r="Z66" s="229"/>
      <c r="AA66" s="230"/>
      <c r="AB66" s="230"/>
      <c r="AC66" s="47"/>
      <c r="AD66" s="47"/>
      <c r="AE66" s="227"/>
      <c r="AF66" s="227"/>
      <c r="AG66" s="47"/>
      <c r="AH66" s="47"/>
      <c r="AI66" s="227"/>
      <c r="AJ66" s="227"/>
      <c r="AK66" s="228"/>
      <c r="AL66" s="228"/>
      <c r="AM66" s="228"/>
      <c r="AN66" s="228"/>
      <c r="AO66" s="47"/>
      <c r="AP66" s="47"/>
      <c r="AQ66" s="230"/>
      <c r="AR66" s="230"/>
      <c r="AS66" s="230"/>
      <c r="AT66" s="230"/>
      <c r="AU66" s="229"/>
      <c r="AV66" s="229"/>
      <c r="AW66" s="230"/>
      <c r="AX66" s="230"/>
      <c r="AY66" s="229"/>
      <c r="AZ66" s="229"/>
      <c r="BA66" s="230"/>
      <c r="BB66" s="230"/>
      <c r="BC66" s="227"/>
      <c r="BD66" s="227"/>
      <c r="BE66" s="230"/>
      <c r="BF66" s="230"/>
      <c r="BG66" s="230"/>
      <c r="BH66" s="230"/>
      <c r="BI66" s="228"/>
      <c r="BJ66" s="228"/>
      <c r="BK66" s="228"/>
      <c r="BL66" s="228"/>
      <c r="BM66" s="228"/>
      <c r="BN66" s="228"/>
      <c r="BO66" s="228"/>
      <c r="BP66" s="228"/>
      <c r="BQ66" s="228"/>
      <c r="BR66" s="228"/>
      <c r="BS66" s="228"/>
      <c r="BT66" s="228"/>
      <c r="BU66" s="230"/>
      <c r="BV66" s="230"/>
      <c r="BW66" s="230"/>
      <c r="BX66" s="230"/>
    </row>
    <row r="67" spans="3:76" ht="13.95" customHeight="1"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47"/>
      <c r="N67" s="47"/>
      <c r="O67" s="227"/>
      <c r="P67" s="227"/>
      <c r="Q67" s="47"/>
      <c r="R67" s="47"/>
      <c r="S67" s="227"/>
      <c r="T67" s="227"/>
      <c r="U67" s="228"/>
      <c r="V67" s="228"/>
      <c r="W67" s="228"/>
      <c r="X67" s="228"/>
      <c r="Y67" s="229"/>
      <c r="Z67" s="229"/>
      <c r="AA67" s="230"/>
      <c r="AB67" s="230"/>
      <c r="AC67" s="47"/>
      <c r="AD67" s="47"/>
      <c r="AE67" s="227"/>
      <c r="AF67" s="227"/>
      <c r="AG67" s="47"/>
      <c r="AH67" s="47"/>
      <c r="AI67" s="227"/>
      <c r="AJ67" s="227"/>
      <c r="AK67" s="228"/>
      <c r="AL67" s="228"/>
      <c r="AM67" s="228"/>
      <c r="AN67" s="228"/>
      <c r="AO67" s="47"/>
      <c r="AP67" s="47"/>
      <c r="AQ67" s="230"/>
      <c r="AR67" s="230"/>
      <c r="AS67" s="230"/>
      <c r="AT67" s="230"/>
      <c r="AU67" s="229"/>
      <c r="AV67" s="229"/>
      <c r="AW67" s="230"/>
      <c r="AX67" s="230"/>
      <c r="AY67" s="229"/>
      <c r="AZ67" s="229"/>
      <c r="BA67" s="230"/>
      <c r="BB67" s="230"/>
      <c r="BC67" s="227"/>
      <c r="BD67" s="227"/>
      <c r="BE67" s="230"/>
      <c r="BF67" s="230"/>
      <c r="BG67" s="230"/>
      <c r="BH67" s="230"/>
      <c r="BI67" s="228"/>
      <c r="BJ67" s="228"/>
      <c r="BK67" s="228"/>
      <c r="BL67" s="228"/>
      <c r="BM67" s="228"/>
      <c r="BN67" s="228"/>
      <c r="BO67" s="228"/>
      <c r="BP67" s="228"/>
      <c r="BQ67" s="228"/>
      <c r="BR67" s="228"/>
      <c r="BS67" s="228"/>
      <c r="BT67" s="228"/>
      <c r="BU67" s="230"/>
      <c r="BV67" s="230"/>
      <c r="BW67" s="230"/>
      <c r="BX67" s="230"/>
    </row>
    <row r="69" spans="3:76" ht="13.95" customHeight="1" thickBot="1"/>
    <row r="70" spans="3:76" ht="13.95" customHeight="1">
      <c r="C70" s="379" t="s">
        <v>748</v>
      </c>
      <c r="D70" s="380"/>
      <c r="E70" s="380"/>
      <c r="F70" s="380"/>
      <c r="G70" s="380"/>
      <c r="H70" s="380"/>
      <c r="I70" s="380"/>
      <c r="J70" s="380"/>
      <c r="K70" s="380"/>
      <c r="L70" s="381"/>
      <c r="M70" s="394">
        <v>1</v>
      </c>
      <c r="N70" s="395"/>
      <c r="O70" s="395"/>
      <c r="P70" s="396"/>
      <c r="Y70" s="394">
        <v>1</v>
      </c>
      <c r="Z70" s="395"/>
      <c r="AA70" s="395"/>
      <c r="AB70" s="396"/>
      <c r="AS70" s="394">
        <v>0</v>
      </c>
      <c r="AT70" s="395"/>
      <c r="AU70" s="395"/>
      <c r="AV70" s="396"/>
      <c r="AW70" s="394">
        <v>0</v>
      </c>
      <c r="AX70" s="395"/>
      <c r="AY70" s="395"/>
      <c r="AZ70" s="396"/>
    </row>
    <row r="71" spans="3:76" ht="13.95" customHeight="1">
      <c r="C71" s="363" t="s">
        <v>749</v>
      </c>
      <c r="D71" s="364"/>
      <c r="E71" s="364"/>
      <c r="F71" s="364"/>
      <c r="G71" s="364"/>
      <c r="H71" s="364"/>
      <c r="I71" s="364"/>
      <c r="J71" s="364"/>
      <c r="K71" s="364"/>
      <c r="L71" s="365"/>
      <c r="M71" s="397">
        <v>1</v>
      </c>
      <c r="N71" s="398"/>
      <c r="O71" s="398"/>
      <c r="P71" s="399"/>
      <c r="Y71" s="397">
        <v>0</v>
      </c>
      <c r="Z71" s="398"/>
      <c r="AA71" s="398"/>
      <c r="AB71" s="399"/>
      <c r="AS71" s="397">
        <v>1</v>
      </c>
      <c r="AT71" s="398"/>
      <c r="AU71" s="398"/>
      <c r="AV71" s="399"/>
      <c r="AW71" s="397">
        <v>0</v>
      </c>
      <c r="AX71" s="398"/>
      <c r="AY71" s="398"/>
      <c r="AZ71" s="399"/>
    </row>
    <row r="72" spans="3:76" ht="13.95" customHeight="1" thickBot="1">
      <c r="C72" s="387" t="s">
        <v>750</v>
      </c>
      <c r="D72" s="388"/>
      <c r="E72" s="388"/>
      <c r="F72" s="388"/>
      <c r="G72" s="388"/>
      <c r="H72" s="388"/>
      <c r="I72" s="388"/>
      <c r="J72" s="388"/>
      <c r="K72" s="388"/>
      <c r="L72" s="389"/>
      <c r="M72" s="390" t="s">
        <v>770</v>
      </c>
      <c r="N72" s="391"/>
      <c r="O72" s="392" t="s">
        <v>771</v>
      </c>
      <c r="P72" s="393"/>
      <c r="Y72" s="390" t="s">
        <v>770</v>
      </c>
      <c r="Z72" s="391"/>
      <c r="AA72" s="392" t="s">
        <v>771</v>
      </c>
      <c r="AB72" s="393"/>
      <c r="AS72" s="390" t="s">
        <v>770</v>
      </c>
      <c r="AT72" s="391"/>
      <c r="AU72" s="392" t="s">
        <v>771</v>
      </c>
      <c r="AV72" s="393"/>
      <c r="AW72" s="390" t="s">
        <v>770</v>
      </c>
      <c r="AX72" s="391"/>
      <c r="AY72" s="392" t="s">
        <v>771</v>
      </c>
      <c r="AZ72" s="393"/>
    </row>
    <row r="73" spans="3:76" ht="13.95" customHeight="1">
      <c r="C73" s="379" t="s">
        <v>751</v>
      </c>
      <c r="D73" s="380"/>
      <c r="E73" s="380"/>
      <c r="F73" s="380"/>
      <c r="G73" s="380"/>
      <c r="H73" s="380"/>
      <c r="I73" s="380"/>
      <c r="J73" s="380"/>
      <c r="K73" s="380"/>
      <c r="L73" s="381"/>
      <c r="M73" s="400">
        <v>1</v>
      </c>
      <c r="N73" s="401"/>
      <c r="O73" s="385">
        <v>0.5</v>
      </c>
      <c r="P73" s="386"/>
      <c r="Y73" s="405">
        <v>1</v>
      </c>
      <c r="Z73" s="385"/>
      <c r="AA73" s="382">
        <v>1</v>
      </c>
      <c r="AB73" s="383"/>
      <c r="AS73" s="384">
        <v>0.5</v>
      </c>
      <c r="AT73" s="382"/>
      <c r="AU73" s="385">
        <v>0.5</v>
      </c>
      <c r="AV73" s="386"/>
      <c r="AW73" s="384">
        <v>0.5</v>
      </c>
      <c r="AX73" s="382"/>
      <c r="AY73" s="385">
        <v>0.5</v>
      </c>
      <c r="AZ73" s="386"/>
    </row>
    <row r="74" spans="3:76" ht="13.95" customHeight="1">
      <c r="C74" s="363" t="s">
        <v>494</v>
      </c>
      <c r="D74" s="364"/>
      <c r="E74" s="364"/>
      <c r="F74" s="364"/>
      <c r="G74" s="364"/>
      <c r="H74" s="364"/>
      <c r="I74" s="364"/>
      <c r="J74" s="364"/>
      <c r="K74" s="364"/>
      <c r="L74" s="365"/>
      <c r="M74" s="366">
        <v>1</v>
      </c>
      <c r="N74" s="367"/>
      <c r="O74" s="367">
        <v>2</v>
      </c>
      <c r="P74" s="368"/>
      <c r="Y74" s="366">
        <v>1</v>
      </c>
      <c r="Z74" s="367"/>
      <c r="AA74" s="367">
        <v>2</v>
      </c>
      <c r="AB74" s="368"/>
      <c r="AS74" s="366">
        <v>1</v>
      </c>
      <c r="AT74" s="367"/>
      <c r="AU74" s="367">
        <v>2</v>
      </c>
      <c r="AV74" s="368"/>
      <c r="AW74" s="366">
        <v>1</v>
      </c>
      <c r="AX74" s="367"/>
      <c r="AY74" s="367">
        <v>2</v>
      </c>
      <c r="AZ74" s="368"/>
    </row>
    <row r="75" spans="3:76" ht="13.95" customHeight="1">
      <c r="C75" s="369" t="s">
        <v>779</v>
      </c>
      <c r="D75" s="370"/>
      <c r="E75" s="370"/>
      <c r="F75" s="370"/>
      <c r="G75" s="370"/>
      <c r="H75" s="370"/>
      <c r="I75" s="370"/>
      <c r="J75" s="370"/>
      <c r="K75" s="370"/>
      <c r="L75" s="371"/>
      <c r="M75" s="372" t="s">
        <v>780</v>
      </c>
      <c r="N75" s="373"/>
      <c r="O75" s="374" t="s">
        <v>780</v>
      </c>
      <c r="P75" s="375"/>
      <c r="Y75" s="372" t="s">
        <v>780</v>
      </c>
      <c r="Z75" s="430"/>
      <c r="AA75" s="424" t="s">
        <v>780</v>
      </c>
      <c r="AB75" s="425"/>
      <c r="AS75" s="426" t="s">
        <v>124</v>
      </c>
      <c r="AT75" s="427"/>
      <c r="AU75" s="424" t="s">
        <v>780</v>
      </c>
      <c r="AV75" s="425"/>
      <c r="AW75" s="426" t="s">
        <v>124</v>
      </c>
      <c r="AX75" s="427"/>
      <c r="AY75" s="428" t="s">
        <v>268</v>
      </c>
      <c r="AZ75" s="429"/>
    </row>
    <row r="76" spans="3:76" ht="13.95" customHeight="1">
      <c r="C76" s="363" t="s">
        <v>752</v>
      </c>
      <c r="D76" s="364"/>
      <c r="E76" s="364"/>
      <c r="F76" s="364"/>
      <c r="G76" s="364"/>
      <c r="H76" s="364"/>
      <c r="I76" s="364"/>
      <c r="J76" s="364"/>
      <c r="K76" s="364"/>
      <c r="L76" s="365"/>
      <c r="M76" s="366">
        <v>1</v>
      </c>
      <c r="N76" s="367"/>
      <c r="O76" s="367">
        <v>1</v>
      </c>
      <c r="P76" s="368"/>
      <c r="Y76" s="440">
        <v>1</v>
      </c>
      <c r="Z76" s="432"/>
      <c r="AA76" s="432">
        <v>1</v>
      </c>
      <c r="AB76" s="433"/>
      <c r="AS76" s="440">
        <v>1</v>
      </c>
      <c r="AT76" s="432"/>
      <c r="AU76" s="432">
        <v>1</v>
      </c>
      <c r="AV76" s="433"/>
      <c r="AW76" s="366">
        <v>1</v>
      </c>
      <c r="AX76" s="367"/>
      <c r="AY76" s="367">
        <v>1</v>
      </c>
      <c r="AZ76" s="368"/>
    </row>
    <row r="77" spans="3:76" ht="13.95" customHeight="1" thickBot="1">
      <c r="C77" s="387" t="s">
        <v>753</v>
      </c>
      <c r="D77" s="388"/>
      <c r="E77" s="388"/>
      <c r="F77" s="388"/>
      <c r="G77" s="388"/>
      <c r="H77" s="388"/>
      <c r="I77" s="388"/>
      <c r="J77" s="388"/>
      <c r="K77" s="388"/>
      <c r="L77" s="389"/>
      <c r="M77" s="448">
        <v>1</v>
      </c>
      <c r="N77" s="391"/>
      <c r="O77" s="446">
        <v>2</v>
      </c>
      <c r="P77" s="447"/>
      <c r="Y77" s="449">
        <v>1</v>
      </c>
      <c r="Z77" s="450"/>
      <c r="AA77" s="445">
        <v>1</v>
      </c>
      <c r="AB77" s="452"/>
      <c r="AS77" s="444">
        <v>2</v>
      </c>
      <c r="AT77" s="445"/>
      <c r="AU77" s="450">
        <v>2</v>
      </c>
      <c r="AV77" s="451"/>
      <c r="AW77" s="444">
        <v>2</v>
      </c>
      <c r="AX77" s="445"/>
      <c r="AY77" s="446">
        <v>2</v>
      </c>
      <c r="AZ77" s="447"/>
    </row>
  </sheetData>
  <mergeCells count="323">
    <mergeCell ref="BE56:BH56"/>
    <mergeCell ref="BU56:BX56"/>
    <mergeCell ref="BI55:BL65"/>
    <mergeCell ref="BM55:BP65"/>
    <mergeCell ref="BQ55:BT65"/>
    <mergeCell ref="AE62:AF62"/>
    <mergeCell ref="BA62:BB62"/>
    <mergeCell ref="BC62:BD62"/>
    <mergeCell ref="BE62:BF62"/>
    <mergeCell ref="BG62:BH62"/>
    <mergeCell ref="AS61:AT61"/>
    <mergeCell ref="AG62:AH62"/>
    <mergeCell ref="AI62:AJ62"/>
    <mergeCell ref="AG63:AH63"/>
    <mergeCell ref="AI63:AJ63"/>
    <mergeCell ref="AS62:AT62"/>
    <mergeCell ref="AU62:AV62"/>
    <mergeCell ref="AS63:AT63"/>
    <mergeCell ref="AU63:AV63"/>
    <mergeCell ref="BE64:BH64"/>
    <mergeCell ref="BU64:BX64"/>
    <mergeCell ref="AC65:AF65"/>
    <mergeCell ref="BE59:BH59"/>
    <mergeCell ref="BU59:BX59"/>
    <mergeCell ref="BE57:BH57"/>
    <mergeCell ref="BE58:BF58"/>
    <mergeCell ref="BG58:BH58"/>
    <mergeCell ref="BA58:BB58"/>
    <mergeCell ref="BU57:BX57"/>
    <mergeCell ref="BU58:BV58"/>
    <mergeCell ref="BW58:BX58"/>
    <mergeCell ref="BC58:BD58"/>
    <mergeCell ref="BA57:BD57"/>
    <mergeCell ref="AS74:AT74"/>
    <mergeCell ref="AU74:AV74"/>
    <mergeCell ref="AS75:AT75"/>
    <mergeCell ref="AU75:AV75"/>
    <mergeCell ref="AS76:AT76"/>
    <mergeCell ref="AU76:AV76"/>
    <mergeCell ref="AS71:AV71"/>
    <mergeCell ref="AS72:AT72"/>
    <mergeCell ref="AU72:AV72"/>
    <mergeCell ref="AS73:AT73"/>
    <mergeCell ref="AU73:AV73"/>
    <mergeCell ref="Y59:AB59"/>
    <mergeCell ref="AC59:AF59"/>
    <mergeCell ref="AG59:AJ59"/>
    <mergeCell ref="AO59:AR59"/>
    <mergeCell ref="AS59:AV59"/>
    <mergeCell ref="AW59:AZ59"/>
    <mergeCell ref="AW60:AZ60"/>
    <mergeCell ref="BA60:BD60"/>
    <mergeCell ref="BA59:BD59"/>
    <mergeCell ref="Y60:AB60"/>
    <mergeCell ref="AC60:AF60"/>
    <mergeCell ref="AG60:AJ60"/>
    <mergeCell ref="AK55:AN65"/>
    <mergeCell ref="AG64:AJ64"/>
    <mergeCell ref="AO64:AR64"/>
    <mergeCell ref="AS64:AV64"/>
    <mergeCell ref="AW56:AZ56"/>
    <mergeCell ref="BA56:BD56"/>
    <mergeCell ref="BC55:BD55"/>
    <mergeCell ref="Y58:Z58"/>
    <mergeCell ref="AA58:AB58"/>
    <mergeCell ref="AW58:AX58"/>
    <mergeCell ref="AY58:AZ58"/>
    <mergeCell ref="Y55:Z55"/>
    <mergeCell ref="AW73:AX73"/>
    <mergeCell ref="AY73:AZ73"/>
    <mergeCell ref="AW74:AX74"/>
    <mergeCell ref="AY74:AZ74"/>
    <mergeCell ref="AW75:AX75"/>
    <mergeCell ref="AY75:AZ75"/>
    <mergeCell ref="AS77:AT77"/>
    <mergeCell ref="AU77:AV77"/>
    <mergeCell ref="Y57:AB57"/>
    <mergeCell ref="AC57:AF57"/>
    <mergeCell ref="AG57:AJ57"/>
    <mergeCell ref="AO57:AR57"/>
    <mergeCell ref="AS57:AV57"/>
    <mergeCell ref="AW57:AZ57"/>
    <mergeCell ref="AA77:AB77"/>
    <mergeCell ref="Y64:AB64"/>
    <mergeCell ref="AC64:AF64"/>
    <mergeCell ref="Y65:AB65"/>
    <mergeCell ref="AG65:AJ65"/>
    <mergeCell ref="AO65:AR65"/>
    <mergeCell ref="AS65:AV65"/>
    <mergeCell ref="AW65:AZ65"/>
    <mergeCell ref="AW64:AZ64"/>
    <mergeCell ref="AW76:AX76"/>
    <mergeCell ref="AY76:AZ76"/>
    <mergeCell ref="AW77:AX77"/>
    <mergeCell ref="AY77:AZ77"/>
    <mergeCell ref="AS70:AV70"/>
    <mergeCell ref="C77:L77"/>
    <mergeCell ref="M77:N77"/>
    <mergeCell ref="O77:P77"/>
    <mergeCell ref="Y70:AB70"/>
    <mergeCell ref="Y71:AB71"/>
    <mergeCell ref="Y72:Z72"/>
    <mergeCell ref="AA72:AB72"/>
    <mergeCell ref="Y73:Z73"/>
    <mergeCell ref="AA73:AB73"/>
    <mergeCell ref="Y74:Z74"/>
    <mergeCell ref="AA74:AB74"/>
    <mergeCell ref="Y75:Z75"/>
    <mergeCell ref="AA75:AB75"/>
    <mergeCell ref="Y76:Z76"/>
    <mergeCell ref="AA76:AB76"/>
    <mergeCell ref="Y77:Z77"/>
    <mergeCell ref="C75:L75"/>
    <mergeCell ref="M75:N75"/>
    <mergeCell ref="O75:P75"/>
    <mergeCell ref="C76:L76"/>
    <mergeCell ref="M76:N76"/>
    <mergeCell ref="O76:P76"/>
    <mergeCell ref="C73:L73"/>
    <mergeCell ref="M73:N73"/>
    <mergeCell ref="O73:P73"/>
    <mergeCell ref="C74:L74"/>
    <mergeCell ref="M74:N74"/>
    <mergeCell ref="O74:P74"/>
    <mergeCell ref="BW61:BX61"/>
    <mergeCell ref="C70:L70"/>
    <mergeCell ref="M70:P70"/>
    <mergeCell ref="BU63:BV63"/>
    <mergeCell ref="BW63:BX63"/>
    <mergeCell ref="BU62:BV62"/>
    <mergeCell ref="BW62:BX62"/>
    <mergeCell ref="BC63:BD63"/>
    <mergeCell ref="BE63:BF63"/>
    <mergeCell ref="BG63:BH63"/>
    <mergeCell ref="AO63:AP63"/>
    <mergeCell ref="AQ63:AR63"/>
    <mergeCell ref="AC63:AD63"/>
    <mergeCell ref="AE63:AF63"/>
    <mergeCell ref="BA63:BB63"/>
    <mergeCell ref="AO62:AP62"/>
    <mergeCell ref="AW70:AZ70"/>
    <mergeCell ref="C65:L65"/>
    <mergeCell ref="M65:P65"/>
    <mergeCell ref="Q65:T65"/>
    <mergeCell ref="BA65:BD65"/>
    <mergeCell ref="BE65:BH65"/>
    <mergeCell ref="AO60:AR60"/>
    <mergeCell ref="AU61:AV61"/>
    <mergeCell ref="AS60:AV60"/>
    <mergeCell ref="BE60:BH60"/>
    <mergeCell ref="Q60:T60"/>
    <mergeCell ref="Q62:R62"/>
    <mergeCell ref="S62:T62"/>
    <mergeCell ref="Q63:R63"/>
    <mergeCell ref="S63:T63"/>
    <mergeCell ref="AQ62:AR62"/>
    <mergeCell ref="AC62:AD62"/>
    <mergeCell ref="C71:L71"/>
    <mergeCell ref="M71:P71"/>
    <mergeCell ref="C72:L72"/>
    <mergeCell ref="M72:N72"/>
    <mergeCell ref="O72:P72"/>
    <mergeCell ref="BU61:BV61"/>
    <mergeCell ref="AW71:AZ71"/>
    <mergeCell ref="AW72:AX72"/>
    <mergeCell ref="AY72:AZ72"/>
    <mergeCell ref="S61:T61"/>
    <mergeCell ref="C62:L62"/>
    <mergeCell ref="C63:L63"/>
    <mergeCell ref="M63:N63"/>
    <mergeCell ref="O63:P63"/>
    <mergeCell ref="Y63:Z63"/>
    <mergeCell ref="AA63:AB63"/>
    <mergeCell ref="AW63:AX63"/>
    <mergeCell ref="AY63:AZ63"/>
    <mergeCell ref="M62:N62"/>
    <mergeCell ref="O62:P62"/>
    <mergeCell ref="Y62:Z62"/>
    <mergeCell ref="AA62:AB62"/>
    <mergeCell ref="AW62:AX62"/>
    <mergeCell ref="AY62:AZ62"/>
    <mergeCell ref="BU60:BX60"/>
    <mergeCell ref="BU65:BX65"/>
    <mergeCell ref="U55:X65"/>
    <mergeCell ref="BA64:BD64"/>
    <mergeCell ref="C64:L64"/>
    <mergeCell ref="M64:P64"/>
    <mergeCell ref="Q64:T64"/>
    <mergeCell ref="BG61:BH61"/>
    <mergeCell ref="AW61:AX61"/>
    <mergeCell ref="AY61:AZ61"/>
    <mergeCell ref="BA61:BB61"/>
    <mergeCell ref="BC61:BD61"/>
    <mergeCell ref="BE61:BF61"/>
    <mergeCell ref="Y61:Z61"/>
    <mergeCell ref="AA61:AB61"/>
    <mergeCell ref="AC61:AD61"/>
    <mergeCell ref="AE61:AF61"/>
    <mergeCell ref="AG61:AH61"/>
    <mergeCell ref="AI61:AJ61"/>
    <mergeCell ref="AO61:AP61"/>
    <mergeCell ref="AQ61:AR61"/>
    <mergeCell ref="BU55:BV55"/>
    <mergeCell ref="BW55:BX55"/>
    <mergeCell ref="Q61:R61"/>
    <mergeCell ref="BE55:BF55"/>
    <mergeCell ref="BG55:BH55"/>
    <mergeCell ref="AO54:AP54"/>
    <mergeCell ref="AQ54:AR54"/>
    <mergeCell ref="AC54:AD54"/>
    <mergeCell ref="AE54:AF54"/>
    <mergeCell ref="BA54:BB54"/>
    <mergeCell ref="AK54:AL54"/>
    <mergeCell ref="AM54:AN54"/>
    <mergeCell ref="AG54:AH54"/>
    <mergeCell ref="AI54:AJ54"/>
    <mergeCell ref="AG55:AH55"/>
    <mergeCell ref="AI55:AJ55"/>
    <mergeCell ref="AW54:AX54"/>
    <mergeCell ref="AY54:AZ54"/>
    <mergeCell ref="BQ52:BT52"/>
    <mergeCell ref="BU52:BX52"/>
    <mergeCell ref="BI53:BL53"/>
    <mergeCell ref="BM53:BP53"/>
    <mergeCell ref="BQ53:BT53"/>
    <mergeCell ref="BU53:BX53"/>
    <mergeCell ref="BI52:BL52"/>
    <mergeCell ref="BM52:BP52"/>
    <mergeCell ref="BI54:BJ54"/>
    <mergeCell ref="BK54:BL54"/>
    <mergeCell ref="BM54:BN54"/>
    <mergeCell ref="BO54:BP54"/>
    <mergeCell ref="BQ54:BR54"/>
    <mergeCell ref="BS54:BT54"/>
    <mergeCell ref="BU54:BV54"/>
    <mergeCell ref="BW54:BX54"/>
    <mergeCell ref="Q59:T59"/>
    <mergeCell ref="Q56:T56"/>
    <mergeCell ref="BA52:BD52"/>
    <mergeCell ref="BE52:BH52"/>
    <mergeCell ref="AO53:AR53"/>
    <mergeCell ref="AC53:AF53"/>
    <mergeCell ref="BA53:BD53"/>
    <mergeCell ref="BE53:BH53"/>
    <mergeCell ref="AK52:AN52"/>
    <mergeCell ref="AK53:AN53"/>
    <mergeCell ref="AG52:AJ52"/>
    <mergeCell ref="AG53:AJ53"/>
    <mergeCell ref="AS52:AV52"/>
    <mergeCell ref="AS53:AV53"/>
    <mergeCell ref="AW52:AZ52"/>
    <mergeCell ref="AW53:AZ53"/>
    <mergeCell ref="BC54:BD54"/>
    <mergeCell ref="BE54:BF54"/>
    <mergeCell ref="BG54:BH54"/>
    <mergeCell ref="AO55:AP55"/>
    <mergeCell ref="AQ55:AR55"/>
    <mergeCell ref="AC55:AD55"/>
    <mergeCell ref="AE55:AF55"/>
    <mergeCell ref="BA55:BB55"/>
    <mergeCell ref="Q58:R58"/>
    <mergeCell ref="S58:T58"/>
    <mergeCell ref="AO52:AR52"/>
    <mergeCell ref="AC52:AF52"/>
    <mergeCell ref="AS54:AT54"/>
    <mergeCell ref="Q52:T52"/>
    <mergeCell ref="Q53:T53"/>
    <mergeCell ref="Q54:R54"/>
    <mergeCell ref="S54:T54"/>
    <mergeCell ref="Q55:R55"/>
    <mergeCell ref="S55:T55"/>
    <mergeCell ref="Q57:T57"/>
    <mergeCell ref="AO56:AR56"/>
    <mergeCell ref="AO58:AP58"/>
    <mergeCell ref="AQ58:AR58"/>
    <mergeCell ref="AC58:AD58"/>
    <mergeCell ref="AE58:AF58"/>
    <mergeCell ref="AG58:AH58"/>
    <mergeCell ref="AI58:AJ58"/>
    <mergeCell ref="AS58:AT58"/>
    <mergeCell ref="AS56:AV56"/>
    <mergeCell ref="AU54:AV54"/>
    <mergeCell ref="AS55:AT55"/>
    <mergeCell ref="AU55:AV55"/>
    <mergeCell ref="AA55:AB55"/>
    <mergeCell ref="AW55:AX55"/>
    <mergeCell ref="AY55:AZ55"/>
    <mergeCell ref="Y56:AB56"/>
    <mergeCell ref="AC56:AF56"/>
    <mergeCell ref="AG56:AJ56"/>
    <mergeCell ref="AU58:AV58"/>
    <mergeCell ref="C52:L52"/>
    <mergeCell ref="C53:L53"/>
    <mergeCell ref="C54:L54"/>
    <mergeCell ref="Y54:Z54"/>
    <mergeCell ref="AA54:AB54"/>
    <mergeCell ref="O54:P54"/>
    <mergeCell ref="M54:N54"/>
    <mergeCell ref="M52:P52"/>
    <mergeCell ref="M53:P53"/>
    <mergeCell ref="Y52:AB52"/>
    <mergeCell ref="Y53:AB53"/>
    <mergeCell ref="U52:X52"/>
    <mergeCell ref="U53:X53"/>
    <mergeCell ref="U54:V54"/>
    <mergeCell ref="W54:X54"/>
    <mergeCell ref="O55:P55"/>
    <mergeCell ref="M55:N55"/>
    <mergeCell ref="C58:L58"/>
    <mergeCell ref="M58:N58"/>
    <mergeCell ref="O58:P58"/>
    <mergeCell ref="C61:L61"/>
    <mergeCell ref="M61:N61"/>
    <mergeCell ref="O61:P61"/>
    <mergeCell ref="C56:L56"/>
    <mergeCell ref="M56:P56"/>
    <mergeCell ref="C55:L55"/>
    <mergeCell ref="C57:L57"/>
    <mergeCell ref="M57:P57"/>
    <mergeCell ref="C59:L59"/>
    <mergeCell ref="M59:P59"/>
    <mergeCell ref="C60:L60"/>
    <mergeCell ref="M60:P6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0E48-8C5A-426C-8DD3-23FB3BB6448F}">
  <dimension ref="A1"/>
  <sheetViews>
    <sheetView topLeftCell="B1" zoomScaleNormal="100" workbookViewId="0">
      <selection activeCell="AF45" sqref="AF45"/>
    </sheetView>
  </sheetViews>
  <sheetFormatPr defaultColWidth="2.296875" defaultRowHeight="13.95" customHeight="1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モーター定数</vt:lpstr>
      <vt:lpstr>motor.tsv</vt:lpstr>
      <vt:lpstr>Tamiya</vt:lpstr>
      <vt:lpstr>6速HE</vt:lpstr>
      <vt:lpstr>FET</vt:lpstr>
      <vt:lpstr>処理進行</vt:lpstr>
      <vt:lpstr>処理進行縦書き</vt:lpstr>
      <vt:lpstr>状態遷移図</vt:lpstr>
      <vt:lpstr>フローチャート</vt:lpstr>
      <vt:lpstr>LED電流</vt:lpstr>
      <vt:lpstr>EEPROM</vt:lpstr>
      <vt:lpstr>reset</vt:lpstr>
      <vt:lpstr>P gain</vt:lpstr>
      <vt:lpstr>OD by CWG2</vt:lpstr>
      <vt:lpstr>OD by DSM</vt:lpstr>
      <vt:lpstr>Flasher</vt:lpstr>
      <vt:lpstr>lead angle</vt:lpstr>
      <vt:lpstr>Screw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敬一 酒居</cp:lastModifiedBy>
  <dcterms:created xsi:type="dcterms:W3CDTF">2013-01-17T14:10:55Z</dcterms:created>
  <dcterms:modified xsi:type="dcterms:W3CDTF">2024-02-25T12:29:32Z</dcterms:modified>
</cp:coreProperties>
</file>