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8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9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0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"/>
    </mc:Choice>
  </mc:AlternateContent>
  <xr:revisionPtr revIDLastSave="0" documentId="13_ncr:1_{D0941740-A662-EF45-9E5C-105D929CA167}" xr6:coauthVersionLast="45" xr6:coauthVersionMax="45" xr10:uidLastSave="{00000000-0000-0000-0000-000000000000}"/>
  <bookViews>
    <workbookView xWindow="0" yWindow="460" windowWidth="21640" windowHeight="14640" activeTab="5" xr2:uid="{B7DA48C3-A5B6-EB4E-92C1-2404D24CA72E}"/>
  </bookViews>
  <sheets>
    <sheet name="all samples" sheetId="3" r:id="rId1"/>
    <sheet name="all samples - sorted" sheetId="1" r:id="rId2"/>
    <sheet name="pro novo samples" sheetId="2" r:id="rId3"/>
    <sheet name="cyanos" sheetId="6" r:id="rId4"/>
    <sheet name="TPP" sheetId="4" r:id="rId5"/>
    <sheet name="SPIDER mods" sheetId="5" r:id="rId6"/>
    <sheet name="modification table" sheetId="9" r:id="rId7"/>
    <sheet name="tryp vs noenz" sheetId="7" r:id="rId8"/>
    <sheet name="GO" sheetId="8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8" l="1"/>
  <c r="L5" i="8"/>
  <c r="L6" i="8"/>
  <c r="L8" i="8"/>
  <c r="L9" i="8"/>
  <c r="L14" i="8"/>
  <c r="L3" i="8"/>
  <c r="R14" i="7" l="1"/>
  <c r="R18" i="7"/>
  <c r="P18" i="7"/>
  <c r="P17" i="7"/>
  <c r="R17" i="7" s="1"/>
  <c r="P16" i="7"/>
  <c r="R16" i="7" s="1"/>
  <c r="P15" i="7"/>
  <c r="R15" i="7" s="1"/>
  <c r="P14" i="7"/>
  <c r="P13" i="7"/>
  <c r="R13" i="7" s="1"/>
  <c r="L3" i="6" l="1"/>
  <c r="L4" i="6"/>
  <c r="L5" i="6"/>
  <c r="L6" i="6"/>
  <c r="L7" i="6"/>
  <c r="L2" i="6"/>
  <c r="K7" i="6"/>
  <c r="K6" i="6"/>
  <c r="K5" i="6"/>
  <c r="K4" i="6"/>
  <c r="K3" i="6"/>
  <c r="K2" i="6"/>
  <c r="C7" i="6"/>
  <c r="C6" i="6"/>
  <c r="C5" i="6"/>
  <c r="C4" i="6"/>
  <c r="C3" i="6"/>
  <c r="C2" i="6"/>
  <c r="K43" i="5"/>
  <c r="L43" i="5"/>
  <c r="M43" i="5"/>
  <c r="N43" i="5"/>
  <c r="O43" i="5"/>
  <c r="J43" i="5"/>
  <c r="K39" i="5"/>
  <c r="L39" i="5"/>
  <c r="M39" i="5"/>
  <c r="N39" i="5"/>
  <c r="O39" i="5"/>
  <c r="J39" i="5"/>
  <c r="K38" i="5"/>
  <c r="L38" i="5"/>
  <c r="M38" i="5"/>
  <c r="N38" i="5"/>
  <c r="O38" i="5"/>
  <c r="J38" i="5"/>
  <c r="K37" i="5"/>
  <c r="L37" i="5"/>
  <c r="M37" i="5"/>
  <c r="N37" i="5"/>
  <c r="O37" i="5"/>
  <c r="J37" i="5"/>
  <c r="K36" i="5"/>
  <c r="L36" i="5"/>
  <c r="M36" i="5"/>
  <c r="N36" i="5"/>
  <c r="O36" i="5"/>
  <c r="J36" i="5"/>
  <c r="K35" i="5"/>
  <c r="L35" i="5"/>
  <c r="M35" i="5"/>
  <c r="N35" i="5"/>
  <c r="O35" i="5"/>
  <c r="J35" i="5"/>
  <c r="K34" i="5"/>
  <c r="L34" i="5"/>
  <c r="M34" i="5"/>
  <c r="N34" i="5"/>
  <c r="O34" i="5"/>
  <c r="J34" i="5"/>
  <c r="K33" i="5"/>
  <c r="L33" i="5"/>
  <c r="M33" i="5"/>
  <c r="N33" i="5"/>
  <c r="O33" i="5"/>
  <c r="J33" i="5"/>
  <c r="K32" i="5"/>
  <c r="L32" i="5"/>
  <c r="M32" i="5"/>
  <c r="N32" i="5"/>
  <c r="O32" i="5"/>
  <c r="J32" i="5"/>
  <c r="K31" i="5"/>
  <c r="L31" i="5"/>
  <c r="M31" i="5"/>
  <c r="N31" i="5"/>
  <c r="O31" i="5"/>
  <c r="J31" i="5"/>
  <c r="K30" i="5"/>
  <c r="L30" i="5"/>
  <c r="M30" i="5"/>
  <c r="N30" i="5"/>
  <c r="O30" i="5"/>
  <c r="J30" i="5"/>
  <c r="K29" i="5"/>
  <c r="L29" i="5"/>
  <c r="M29" i="5"/>
  <c r="N29" i="5"/>
  <c r="O29" i="5"/>
  <c r="J29" i="5"/>
  <c r="K28" i="5"/>
  <c r="L28" i="5"/>
  <c r="M28" i="5"/>
  <c r="N28" i="5"/>
  <c r="O28" i="5"/>
  <c r="J28" i="5"/>
  <c r="K27" i="5"/>
  <c r="L27" i="5"/>
  <c r="M27" i="5"/>
  <c r="N27" i="5"/>
  <c r="O27" i="5"/>
  <c r="J27" i="5"/>
  <c r="K26" i="5"/>
  <c r="L26" i="5"/>
  <c r="M26" i="5"/>
  <c r="N26" i="5"/>
  <c r="O26" i="5"/>
  <c r="J26" i="5"/>
  <c r="K25" i="5"/>
  <c r="L25" i="5"/>
  <c r="M25" i="5"/>
  <c r="N25" i="5"/>
  <c r="O25" i="5"/>
  <c r="J25" i="5"/>
  <c r="K24" i="5"/>
  <c r="L24" i="5"/>
  <c r="M24" i="5"/>
  <c r="N24" i="5"/>
  <c r="O24" i="5"/>
  <c r="J24" i="5"/>
  <c r="K23" i="5"/>
  <c r="L23" i="5"/>
  <c r="M23" i="5"/>
  <c r="N23" i="5"/>
  <c r="O23" i="5"/>
  <c r="J23" i="5"/>
  <c r="K22" i="5"/>
  <c r="L22" i="5"/>
  <c r="M22" i="5"/>
  <c r="N22" i="5"/>
  <c r="O22" i="5"/>
  <c r="J22" i="5"/>
  <c r="K21" i="5"/>
  <c r="K6" i="5" s="1"/>
  <c r="L21" i="5"/>
  <c r="L6" i="5" s="1"/>
  <c r="M21" i="5"/>
  <c r="M6" i="5" s="1"/>
  <c r="N21" i="5"/>
  <c r="N6" i="5" s="1"/>
  <c r="O21" i="5"/>
  <c r="O6" i="5" s="1"/>
  <c r="J21" i="5"/>
  <c r="J6" i="5" s="1"/>
  <c r="K20" i="5"/>
  <c r="L20" i="5"/>
  <c r="M20" i="5"/>
  <c r="N20" i="5"/>
  <c r="O20" i="5"/>
  <c r="J20" i="5"/>
  <c r="K19" i="5"/>
  <c r="L19" i="5"/>
  <c r="M19" i="5"/>
  <c r="N19" i="5"/>
  <c r="O19" i="5"/>
  <c r="J19" i="5"/>
  <c r="K18" i="5"/>
  <c r="L18" i="5"/>
  <c r="M18" i="5"/>
  <c r="N18" i="5"/>
  <c r="O18" i="5"/>
  <c r="J18" i="5"/>
  <c r="K17" i="5"/>
  <c r="L17" i="5"/>
  <c r="M17" i="5"/>
  <c r="N17" i="5"/>
  <c r="O17" i="5"/>
  <c r="J17" i="5"/>
  <c r="K16" i="5"/>
  <c r="L16" i="5"/>
  <c r="M16" i="5"/>
  <c r="N16" i="5"/>
  <c r="O16" i="5"/>
  <c r="J16" i="5"/>
  <c r="K15" i="5"/>
  <c r="L15" i="5"/>
  <c r="M15" i="5"/>
  <c r="N15" i="5"/>
  <c r="O15" i="5"/>
  <c r="J15" i="5"/>
  <c r="K14" i="5"/>
  <c r="L14" i="5"/>
  <c r="M14" i="5"/>
  <c r="N14" i="5"/>
  <c r="O14" i="5"/>
  <c r="J14" i="5"/>
  <c r="K13" i="5"/>
  <c r="L13" i="5"/>
  <c r="M13" i="5"/>
  <c r="N13" i="5"/>
  <c r="O13" i="5"/>
  <c r="J13" i="5"/>
  <c r="K12" i="5"/>
  <c r="L12" i="5"/>
  <c r="M12" i="5"/>
  <c r="N12" i="5"/>
  <c r="O12" i="5"/>
  <c r="J12" i="5"/>
  <c r="K11" i="5"/>
  <c r="L11" i="5"/>
  <c r="M11" i="5"/>
  <c r="N11" i="5"/>
  <c r="O11" i="5"/>
  <c r="J11" i="5"/>
  <c r="K10" i="5"/>
  <c r="L10" i="5"/>
  <c r="M10" i="5"/>
  <c r="N10" i="5"/>
  <c r="O10" i="5"/>
  <c r="J10" i="5"/>
  <c r="K9" i="5"/>
  <c r="L9" i="5"/>
  <c r="M9" i="5"/>
  <c r="N9" i="5"/>
  <c r="O9" i="5"/>
  <c r="J9" i="5"/>
  <c r="K8" i="5"/>
  <c r="L8" i="5"/>
  <c r="M8" i="5"/>
  <c r="N8" i="5"/>
  <c r="O8" i="5"/>
  <c r="J8" i="5"/>
  <c r="K7" i="5"/>
  <c r="L7" i="5"/>
  <c r="M7" i="5"/>
  <c r="N7" i="5"/>
  <c r="O7" i="5"/>
  <c r="J7" i="5"/>
  <c r="K5" i="5"/>
  <c r="L5" i="5"/>
  <c r="M5" i="5"/>
  <c r="N5" i="5"/>
  <c r="O5" i="5"/>
  <c r="J5" i="5"/>
  <c r="K4" i="5"/>
  <c r="L4" i="5"/>
  <c r="M4" i="5"/>
  <c r="N4" i="5"/>
  <c r="O4" i="5"/>
  <c r="J4" i="5"/>
  <c r="K3" i="5"/>
  <c r="L3" i="5"/>
  <c r="M3" i="5"/>
  <c r="N3" i="5"/>
  <c r="O3" i="5"/>
  <c r="J3" i="5"/>
  <c r="J2" i="5"/>
  <c r="L2" i="5"/>
  <c r="M2" i="5"/>
  <c r="N2" i="5"/>
  <c r="O2" i="5"/>
  <c r="K2" i="5"/>
  <c r="K40" i="5" l="1"/>
  <c r="R6" i="5" s="1"/>
  <c r="O40" i="5"/>
  <c r="V6" i="5" s="1"/>
  <c r="J40" i="5"/>
  <c r="N40" i="5"/>
  <c r="M40" i="5"/>
  <c r="L40" i="5"/>
  <c r="S4" i="5" l="1"/>
  <c r="S8" i="5"/>
  <c r="S12" i="5"/>
  <c r="S16" i="5"/>
  <c r="S20" i="5"/>
  <c r="S24" i="5"/>
  <c r="S28" i="5"/>
  <c r="S32" i="5"/>
  <c r="S36" i="5"/>
  <c r="S2" i="5"/>
  <c r="S5" i="5"/>
  <c r="S9" i="5"/>
  <c r="S13" i="5"/>
  <c r="S17" i="5"/>
  <c r="S21" i="5"/>
  <c r="S25" i="5"/>
  <c r="S29" i="5"/>
  <c r="S33" i="5"/>
  <c r="S37" i="5"/>
  <c r="S7" i="5"/>
  <c r="S15" i="5"/>
  <c r="S23" i="5"/>
  <c r="S31" i="5"/>
  <c r="S39" i="5"/>
  <c r="S3" i="5"/>
  <c r="S11" i="5"/>
  <c r="S19" i="5"/>
  <c r="S27" i="5"/>
  <c r="S35" i="5"/>
  <c r="S6" i="5"/>
  <c r="S14" i="5"/>
  <c r="S22" i="5"/>
  <c r="S30" i="5"/>
  <c r="S38" i="5"/>
  <c r="S10" i="5"/>
  <c r="S18" i="5"/>
  <c r="S26" i="5"/>
  <c r="S34" i="5"/>
  <c r="T10" i="5"/>
  <c r="T14" i="5"/>
  <c r="T18" i="5"/>
  <c r="T22" i="5"/>
  <c r="T26" i="5"/>
  <c r="T30" i="5"/>
  <c r="T34" i="5"/>
  <c r="T38" i="5"/>
  <c r="T3" i="5"/>
  <c r="T7" i="5"/>
  <c r="T11" i="5"/>
  <c r="T15" i="5"/>
  <c r="T19" i="5"/>
  <c r="T23" i="5"/>
  <c r="T27" i="5"/>
  <c r="T31" i="5"/>
  <c r="T35" i="5"/>
  <c r="T39" i="5"/>
  <c r="T5" i="5"/>
  <c r="T13" i="5"/>
  <c r="T21" i="5"/>
  <c r="T29" i="5"/>
  <c r="T37" i="5"/>
  <c r="T9" i="5"/>
  <c r="T17" i="5"/>
  <c r="T25" i="5"/>
  <c r="T33" i="5"/>
  <c r="T4" i="5"/>
  <c r="T12" i="5"/>
  <c r="T20" i="5"/>
  <c r="T28" i="5"/>
  <c r="T36" i="5"/>
  <c r="T8" i="5"/>
  <c r="T16" i="5"/>
  <c r="T24" i="5"/>
  <c r="T32" i="5"/>
  <c r="T2" i="5"/>
  <c r="U4" i="5"/>
  <c r="U8" i="5"/>
  <c r="U12" i="5"/>
  <c r="U16" i="5"/>
  <c r="U20" i="5"/>
  <c r="U24" i="5"/>
  <c r="U28" i="5"/>
  <c r="U32" i="5"/>
  <c r="U36" i="5"/>
  <c r="U2" i="5"/>
  <c r="U5" i="5"/>
  <c r="U9" i="5"/>
  <c r="U13" i="5"/>
  <c r="U17" i="5"/>
  <c r="U21" i="5"/>
  <c r="U25" i="5"/>
  <c r="U29" i="5"/>
  <c r="U33" i="5"/>
  <c r="U37" i="5"/>
  <c r="U3" i="5"/>
  <c r="U11" i="5"/>
  <c r="U19" i="5"/>
  <c r="U27" i="5"/>
  <c r="U35" i="5"/>
  <c r="U7" i="5"/>
  <c r="U15" i="5"/>
  <c r="U23" i="5"/>
  <c r="U31" i="5"/>
  <c r="U39" i="5"/>
  <c r="U10" i="5"/>
  <c r="U18" i="5"/>
  <c r="U26" i="5"/>
  <c r="U34" i="5"/>
  <c r="U14" i="5"/>
  <c r="U22" i="5"/>
  <c r="U30" i="5"/>
  <c r="U38" i="5"/>
  <c r="V10" i="5"/>
  <c r="V14" i="5"/>
  <c r="V18" i="5"/>
  <c r="V22" i="5"/>
  <c r="V26" i="5"/>
  <c r="V30" i="5"/>
  <c r="V34" i="5"/>
  <c r="V38" i="5"/>
  <c r="V3" i="5"/>
  <c r="V7" i="5"/>
  <c r="V11" i="5"/>
  <c r="V15" i="5"/>
  <c r="V19" i="5"/>
  <c r="V23" i="5"/>
  <c r="V27" i="5"/>
  <c r="V31" i="5"/>
  <c r="V35" i="5"/>
  <c r="V39" i="5"/>
  <c r="V9" i="5"/>
  <c r="V17" i="5"/>
  <c r="V25" i="5"/>
  <c r="V33" i="5"/>
  <c r="V5" i="5"/>
  <c r="V13" i="5"/>
  <c r="V21" i="5"/>
  <c r="V29" i="5"/>
  <c r="V37" i="5"/>
  <c r="V8" i="5"/>
  <c r="V16" i="5"/>
  <c r="V24" i="5"/>
  <c r="V32" i="5"/>
  <c r="V2" i="5"/>
  <c r="V4" i="5"/>
  <c r="V12" i="5"/>
  <c r="V20" i="5"/>
  <c r="V28" i="5"/>
  <c r="V36" i="5"/>
  <c r="T6" i="5"/>
  <c r="R10" i="5"/>
  <c r="R14" i="5"/>
  <c r="R18" i="5"/>
  <c r="R22" i="5"/>
  <c r="R26" i="5"/>
  <c r="R30" i="5"/>
  <c r="R34" i="5"/>
  <c r="R38" i="5"/>
  <c r="R7" i="5"/>
  <c r="R12" i="5"/>
  <c r="R17" i="5"/>
  <c r="R23" i="5"/>
  <c r="R28" i="5"/>
  <c r="R33" i="5"/>
  <c r="R39" i="5"/>
  <c r="R4" i="5"/>
  <c r="R9" i="5"/>
  <c r="R15" i="5"/>
  <c r="R20" i="5"/>
  <c r="R25" i="5"/>
  <c r="R31" i="5"/>
  <c r="R36" i="5"/>
  <c r="R5" i="5"/>
  <c r="R11" i="5"/>
  <c r="R16" i="5"/>
  <c r="R21" i="5"/>
  <c r="R27" i="5"/>
  <c r="R32" i="5"/>
  <c r="R37" i="5"/>
  <c r="R3" i="5"/>
  <c r="R8" i="5"/>
  <c r="R13" i="5"/>
  <c r="R19" i="5"/>
  <c r="R24" i="5"/>
  <c r="R29" i="5"/>
  <c r="R35" i="5"/>
  <c r="R2" i="5"/>
  <c r="U6" i="5"/>
  <c r="Q5" i="5"/>
  <c r="Q9" i="5"/>
  <c r="Q13" i="5"/>
  <c r="Q17" i="5"/>
  <c r="Q21" i="5"/>
  <c r="Q25" i="5"/>
  <c r="Q29" i="5"/>
  <c r="Q33" i="5"/>
  <c r="Q37" i="5"/>
  <c r="Q10" i="5"/>
  <c r="Q14" i="5"/>
  <c r="Q18" i="5"/>
  <c r="Q22" i="5"/>
  <c r="Q26" i="5"/>
  <c r="Q30" i="5"/>
  <c r="Q34" i="5"/>
  <c r="Q38" i="5"/>
  <c r="Q3" i="5"/>
  <c r="Q7" i="5"/>
  <c r="Q11" i="5"/>
  <c r="Q15" i="5"/>
  <c r="Q19" i="5"/>
  <c r="Q23" i="5"/>
  <c r="Q27" i="5"/>
  <c r="Q31" i="5"/>
  <c r="Q35" i="5"/>
  <c r="Q39" i="5"/>
  <c r="Q4" i="5"/>
  <c r="Q8" i="5"/>
  <c r="Q12" i="5"/>
  <c r="Q16" i="5"/>
  <c r="Q20" i="5"/>
  <c r="Q24" i="5"/>
  <c r="Q28" i="5"/>
  <c r="Q32" i="5"/>
  <c r="Q36" i="5"/>
  <c r="Q2" i="5"/>
  <c r="Q6" i="5"/>
  <c r="V40" i="5" l="1"/>
  <c r="R40" i="5"/>
  <c r="T40" i="5"/>
  <c r="S40" i="5"/>
  <c r="Q40" i="5"/>
  <c r="U40" i="5"/>
</calcChain>
</file>

<file path=xl/sharedStrings.xml><?xml version="1.0" encoding="utf-8"?>
<sst xmlns="http://schemas.openxmlformats.org/spreadsheetml/2006/main" count="1980" uniqueCount="403">
  <si>
    <t>Sample running #</t>
  </si>
  <si>
    <t>Sample name</t>
  </si>
  <si>
    <t>Depth</t>
  </si>
  <si>
    <t>Vol SW filtered</t>
  </si>
  <si>
    <t>Pore size (um)</t>
  </si>
  <si>
    <t>MS spectra</t>
  </si>
  <si>
    <t>MSMS spectra</t>
  </si>
  <si>
    <t>% DNO peptides modified</t>
  </si>
  <si>
    <t>JA1</t>
  </si>
  <si>
    <t>JA2</t>
  </si>
  <si>
    <t>JA3</t>
  </si>
  <si>
    <t>JA4</t>
  </si>
  <si>
    <t>JA5</t>
  </si>
  <si>
    <t>JA6</t>
  </si>
  <si>
    <t>JA9</t>
  </si>
  <si>
    <t>JA10</t>
  </si>
  <si>
    <t>JA11</t>
  </si>
  <si>
    <t>JA12</t>
  </si>
  <si>
    <t>JA13</t>
  </si>
  <si>
    <t>JA14</t>
  </si>
  <si>
    <t>JAGFD1</t>
  </si>
  <si>
    <t>JAGFD2</t>
  </si>
  <si>
    <t>JAGFD3</t>
  </si>
  <si>
    <t>JAGFD4</t>
  </si>
  <si>
    <t>JAGFD5</t>
  </si>
  <si>
    <t>JAGFD6</t>
  </si>
  <si>
    <t>NT1:2-9_94m_topnw1</t>
  </si>
  <si>
    <t>NT2:2-9_94m_topnw4</t>
  </si>
  <si>
    <t>NT3:4-11_265m_topnw1</t>
  </si>
  <si>
    <t>NT4:4-11_265m_topnw4</t>
  </si>
  <si>
    <t>NT5:4-19_965m_nw1</t>
  </si>
  <si>
    <t>NT6:4-19_965m_nw4</t>
  </si>
  <si>
    <t>NT7:GF75-blank</t>
  </si>
  <si>
    <t>filter blank</t>
  </si>
  <si>
    <t>NT8:GF75-blank</t>
  </si>
  <si>
    <t>JA7</t>
  </si>
  <si>
    <t>JA8</t>
  </si>
  <si>
    <t>JA15</t>
  </si>
  <si>
    <t>JA16</t>
  </si>
  <si>
    <t>Station                                    P1: Onshore                       P2:  Offshore</t>
  </si>
  <si>
    <t>P1</t>
  </si>
  <si>
    <t>P2</t>
  </si>
  <si>
    <t>4-19_965m_top+P</t>
  </si>
  <si>
    <t>4-19_965m_ctl1of2-A</t>
  </si>
  <si>
    <t>4-19_965m_netwash1of5-A</t>
  </si>
  <si>
    <t>2-9_94m_nw6_dry_nospike</t>
  </si>
  <si>
    <t>2-9_94m_nw6_wet_nospike</t>
  </si>
  <si>
    <t>4-19_265m_ctl-A</t>
  </si>
  <si>
    <t>4-19_265m_netwash1of3-A</t>
  </si>
  <si>
    <t>4-19_265m_top+P-A</t>
  </si>
  <si>
    <t>BLANKS</t>
  </si>
  <si>
    <t>TRAPS</t>
  </si>
  <si>
    <t>MCLANE</t>
  </si>
  <si>
    <t>PEAKS DB % mod peptides</t>
  </si>
  <si>
    <t>4-19_965m_top+p1-plusBSA</t>
  </si>
  <si>
    <t>Run batch</t>
  </si>
  <si>
    <t>UWPR Oct 2018</t>
  </si>
  <si>
    <t>2-9_94m_nw6_dry_BSA</t>
  </si>
  <si>
    <t>2-9_94m_nw6_wet_BSA</t>
  </si>
  <si>
    <t>4-19_265m_top+P-A_90min</t>
  </si>
  <si>
    <t>UWPR Dec 2018</t>
  </si>
  <si>
    <t>2-14_100m_top</t>
  </si>
  <si>
    <t xml:space="preserve">ID'd proteins trypsin </t>
  </si>
  <si>
    <t>PSMs trypsin</t>
  </si>
  <si>
    <t>UWPR Apr 2017</t>
  </si>
  <si>
    <t>total de novo only spectra &gt; 50% trypsin</t>
  </si>
  <si>
    <t>unique DNO &gt; 50 % trypsin</t>
  </si>
  <si>
    <t>DNO peptides found in Unipept</t>
  </si>
  <si>
    <t>DB peptides trypsin</t>
  </si>
  <si>
    <t>DB peptides found in Unipept</t>
  </si>
  <si>
    <t>unique DB peptides trypsin</t>
  </si>
  <si>
    <t>DB peptides matched to Cyano Unipept</t>
  </si>
  <si>
    <t>DNO peptides matched to Cyano Unipept</t>
  </si>
  <si>
    <t>DB peptides matched to Nitrospina Unipept</t>
  </si>
  <si>
    <t>DNO peptides matched to Nitrospina Unipept</t>
  </si>
  <si>
    <t>UWPR May 2017</t>
  </si>
  <si>
    <t>Bubble plot spacer</t>
  </si>
  <si>
    <t>JA2: 100 m gf75</t>
  </si>
  <si>
    <t>JA4: 265 m gf75</t>
  </si>
  <si>
    <t>JA14: 1000 m gf75</t>
  </si>
  <si>
    <t># proteins w/ProteinProphet ≥ 0.9, 2 pep min</t>
  </si>
  <si>
    <t># proteins w/ProteinProphet ≥ 0.9, 1 pep min</t>
  </si>
  <si>
    <t>SPIDER mod %</t>
  </si>
  <si>
    <t>Deamidation (NQ)</t>
  </si>
  <si>
    <t>Sodium adduct</t>
  </si>
  <si>
    <t>Mutation</t>
  </si>
  <si>
    <t>Carbamidomethylation</t>
  </si>
  <si>
    <t>Dehydration</t>
  </si>
  <si>
    <t>Replacement of proton with ammonium ion</t>
  </si>
  <si>
    <t>Methylation(others)</t>
  </si>
  <si>
    <t>Pyro-glu from E</t>
  </si>
  <si>
    <t>Carbamylation</t>
  </si>
  <si>
    <t>Replacement of 2 protons by calcium</t>
  </si>
  <si>
    <t>Proline oxidation to pyrrolidinone</t>
  </si>
  <si>
    <t>Oxidation or Hydroxylation</t>
  </si>
  <si>
    <t>Pyro-glu from Q</t>
  </si>
  <si>
    <t>Oxidation (M)</t>
  </si>
  <si>
    <t>Hydroxymethyl</t>
  </si>
  <si>
    <t>Replacement of proton by potassium</t>
  </si>
  <si>
    <t>Formylation</t>
  </si>
  <si>
    <t>Propionamide (K  X@N-term)</t>
  </si>
  <si>
    <t>Deoxy</t>
  </si>
  <si>
    <t>Phosphorylation (STY)</t>
  </si>
  <si>
    <t>Methylation(KR)</t>
  </si>
  <si>
    <t>Dimethylation(KR); Carbamidomethylation</t>
  </si>
  <si>
    <t>Amidination of lysines or N-terminal amines with methyl acetimidate</t>
  </si>
  <si>
    <t>Carbamidomethylation; Mutation</t>
  </si>
  <si>
    <t>Methylation(KR); Phosphorylation (STY)</t>
  </si>
  <si>
    <t>Dimethylation(KR)</t>
  </si>
  <si>
    <t>Formylation; Carbamylation</t>
  </si>
  <si>
    <t>Carbamidomethylation; Deamidation (NQ)</t>
  </si>
  <si>
    <t>Carboxylation (E)</t>
  </si>
  <si>
    <t>Carbamidomethylation; Oxidation (M)</t>
  </si>
  <si>
    <t>Hexose (NSY)</t>
  </si>
  <si>
    <t>3-sulfanylpropanoyl</t>
  </si>
  <si>
    <t>Ethylation</t>
  </si>
  <si>
    <t>Acetylation (K)</t>
  </si>
  <si>
    <t>Carbamidomethylation; Dimethylation(KR)</t>
  </si>
  <si>
    <t>Replacement of 2 protons by iron</t>
  </si>
  <si>
    <t>Carbamidomethylation; Sodium adduct; Dimethylation(KR)</t>
  </si>
  <si>
    <t>Sulphone</t>
  </si>
  <si>
    <t>Phosphorylation (STY); Dihydroxy; Deamidation (NQ)</t>
  </si>
  <si>
    <t>ISD (z+2)-series</t>
  </si>
  <si>
    <t>Acetylation (N-term)</t>
  </si>
  <si>
    <t>Carbamidomethylation; Dehydration</t>
  </si>
  <si>
    <t>2-amino-3-oxo-butanoic_acid</t>
  </si>
  <si>
    <t>Ammonia-loss (N); Phosphorylation (STY)</t>
  </si>
  <si>
    <t>Acetylation (TSCYH); Deamidation (NQ)</t>
  </si>
  <si>
    <t>Carboxymethyl (KW  X@N-term)</t>
  </si>
  <si>
    <t>Phosphorylation (HCDR)</t>
  </si>
  <si>
    <t>Dimethylation of proline residue</t>
  </si>
  <si>
    <t>Monoglutamyl</t>
  </si>
  <si>
    <t>Replacement of 2 protons by nickel</t>
  </si>
  <si>
    <t>Dihydroxy</t>
  </si>
  <si>
    <t>Deamidation (NQ); Oxidation (HW)</t>
  </si>
  <si>
    <t>Deamidation (NQ); Dehydration</t>
  </si>
  <si>
    <t>Deamidation (NQ); Formylation</t>
  </si>
  <si>
    <t>Phosphorylation to amine thiol</t>
  </si>
  <si>
    <t>Amidation</t>
  </si>
  <si>
    <t>Carbamidomethylation; Methylation(KR)</t>
  </si>
  <si>
    <t>Ethylation; Carbamidomethylation</t>
  </si>
  <si>
    <t>Carbamidomethylation; Deamidation (NQ); Dimethylation(KR)</t>
  </si>
  <si>
    <t>Acetylation (N-term); Deamidation (NQ)</t>
  </si>
  <si>
    <t>Carbamidomethylation; Sodium adduct</t>
  </si>
  <si>
    <t>Pyro-glu from Q; Carbamidomethylation</t>
  </si>
  <si>
    <t>Carbamidomethylation; 2-OH-ethyl thio-Ser</t>
  </si>
  <si>
    <t>Oxidation (HW)</t>
  </si>
  <si>
    <t>Oxidation (M); Deamidation (NQ)</t>
  </si>
  <si>
    <t>Formylation (Protein N-term)</t>
  </si>
  <si>
    <t>Dethiomethyl</t>
  </si>
  <si>
    <t>Acetylation (TSCYH)</t>
  </si>
  <si>
    <t>Ammonia-loss (N)</t>
  </si>
  <si>
    <t>Carboxylation (E); Methylation(KR)</t>
  </si>
  <si>
    <t>Methylation(others); Carbamidomethylation</t>
  </si>
  <si>
    <t>Oxidation (M); Mutation</t>
  </si>
  <si>
    <t>Replacement of 2 protons by magnesium</t>
  </si>
  <si>
    <t>S-Ethylcystine from Serine</t>
  </si>
  <si>
    <t>Acetylation (N-term); Oxidation (M)</t>
  </si>
  <si>
    <t>Carbamidomethylation; Lysine oxidation to aminoadipic semialdehyde</t>
  </si>
  <si>
    <t>Iminobiotinylation</t>
  </si>
  <si>
    <t>Deamidation (R)</t>
  </si>
  <si>
    <t>Fluorination</t>
  </si>
  <si>
    <t>Acetylation (N-term); Acetylation (K)</t>
  </si>
  <si>
    <t>Formylation; Carbamidomethylation</t>
  </si>
  <si>
    <t>Homoserine lactone</t>
  </si>
  <si>
    <t>Ubiquitin</t>
  </si>
  <si>
    <t>Guanidination</t>
  </si>
  <si>
    <t>Carbamidomethylation; Carboxylation (DKW)</t>
  </si>
  <si>
    <t>Ethyl amino</t>
  </si>
  <si>
    <t>Menadione hydroquinone derivative</t>
  </si>
  <si>
    <t>Oxidation (M); Methylation(KR)</t>
  </si>
  <si>
    <t>Acetylation (Protein N-term)</t>
  </si>
  <si>
    <t>Tryptophan oxidation to kynurenin</t>
  </si>
  <si>
    <t>Carbamidomethylation; Methylation(others)</t>
  </si>
  <si>
    <t>Carbamidomethylation; Carboxyethyl</t>
  </si>
  <si>
    <t>Carboxylation (DKW); Deamidation (NQ)</t>
  </si>
  <si>
    <t>Glycidamide adduct</t>
  </si>
  <si>
    <t>Tyrosine oxidation to 2-aminotyrosine</t>
  </si>
  <si>
    <t>Carbamidomethylation; Deamidation (NQ); Methylation(KR)</t>
  </si>
  <si>
    <t>Deamidation (NQ); Oxidation (M)</t>
  </si>
  <si>
    <t>Carbamidomethylation; Replacement of proton with ammonium ion</t>
  </si>
  <si>
    <t>Deamidation followed by a methylation</t>
  </si>
  <si>
    <t>Dehydration; Phosphorylation (STY)</t>
  </si>
  <si>
    <t>Deamidation followed by esterification with ethanol</t>
  </si>
  <si>
    <t>Sodium adduct; Deamidation (NQ)</t>
  </si>
  <si>
    <t>Deamidation (NQ); Amidation</t>
  </si>
  <si>
    <t>Oxidation (M); Carbamidomethylation</t>
  </si>
  <si>
    <t>Pyridylacetyl</t>
  </si>
  <si>
    <t>Carbamylation; Methylation(KR)</t>
  </si>
  <si>
    <t>Phosphoadenosine</t>
  </si>
  <si>
    <t>Bis(hydroxphenylglyoxal) arginine</t>
  </si>
  <si>
    <t>Sulfation</t>
  </si>
  <si>
    <t># Deamidation</t>
  </si>
  <si>
    <t># Acetylation</t>
  </si>
  <si>
    <t># Ubiquitination</t>
  </si>
  <si>
    <t># Dehydration</t>
  </si>
  <si>
    <t># Formylation</t>
  </si>
  <si>
    <t># Mods total</t>
  </si>
  <si>
    <t># Peptides w/ mods</t>
  </si>
  <si>
    <t># Peptides</t>
  </si>
  <si>
    <t>% Peptides w mods</t>
  </si>
  <si>
    <t># Methylation</t>
  </si>
  <si>
    <t># Propionamide</t>
  </si>
  <si>
    <t># Sodium adduct</t>
  </si>
  <si>
    <t># Pyro-glu from Q</t>
  </si>
  <si>
    <t># Mutation</t>
  </si>
  <si>
    <t># Monoglutamyl</t>
  </si>
  <si>
    <t># Phosphorylation (STY)</t>
  </si>
  <si>
    <t># Sulphone</t>
  </si>
  <si>
    <t># Carbamylation</t>
  </si>
  <si>
    <t># Ethylation</t>
  </si>
  <si>
    <t># Glycidamide adduct</t>
  </si>
  <si>
    <t># Hydroxymethyl</t>
  </si>
  <si>
    <t># Ubiquitin</t>
  </si>
  <si>
    <t># Tryptophan oxidation to kynurenin</t>
  </si>
  <si>
    <t># Replacement of proton by potassium</t>
  </si>
  <si>
    <t># 2-amino-3-oxo-butanoic_acid</t>
  </si>
  <si>
    <t># Deoxy</t>
  </si>
  <si>
    <t># Replacement of 2 protons by calcium</t>
  </si>
  <si>
    <t># Dimethylation(KR)</t>
  </si>
  <si>
    <t># Dihydroxy</t>
  </si>
  <si>
    <t># Proline oxidation to pyrrolidinone</t>
  </si>
  <si>
    <t># ISD (z+2)-series</t>
  </si>
  <si>
    <t># Pyro-glu from E</t>
  </si>
  <si>
    <t># Ammonia-loss (N)</t>
  </si>
  <si>
    <t># Amidination of lysines or N-terminal amines with methyl acetimidate</t>
  </si>
  <si>
    <t># Oxidation</t>
  </si>
  <si>
    <t># Carbamidomethylation</t>
  </si>
  <si>
    <t># Replacement of 2 protons by nickel</t>
  </si>
  <si>
    <t># 3-sulfanylpropanoyl</t>
  </si>
  <si>
    <t># Hydroxylation</t>
  </si>
  <si>
    <t># Replacement of proton with ammonium ion</t>
  </si>
  <si>
    <t># Replacement of 2 protons by magnesium</t>
  </si>
  <si>
    <t># Menadione hydroquinone derivative</t>
  </si>
  <si>
    <t>Mods 231</t>
  </si>
  <si>
    <t>Mods 233</t>
  </si>
  <si>
    <t>Mods 243</t>
  </si>
  <si>
    <t>Mods 378</t>
  </si>
  <si>
    <t>Mods 278</t>
  </si>
  <si>
    <t>Mods 273</t>
  </si>
  <si>
    <t>DNO peptides modified percent</t>
  </si>
  <si>
    <t>PEAKS DB mod peptides percent</t>
  </si>
  <si>
    <t>Num modifications</t>
  </si>
  <si>
    <t>Percent modifications</t>
  </si>
  <si>
    <t>Oxidation</t>
  </si>
  <si>
    <t>Deamidation</t>
  </si>
  <si>
    <t>Acetylation</t>
  </si>
  <si>
    <t>Ubiquitination</t>
  </si>
  <si>
    <t>Methylation</t>
  </si>
  <si>
    <t>Propionamide</t>
  </si>
  <si>
    <t>Hydroxylation</t>
  </si>
  <si>
    <t>Total</t>
  </si>
  <si>
    <t>PSample 231</t>
  </si>
  <si>
    <t>PSample 233</t>
  </si>
  <si>
    <t>PSample 243</t>
  </si>
  <si>
    <t>PSample 378</t>
  </si>
  <si>
    <t>PSample 278</t>
  </si>
  <si>
    <t>PSample 273</t>
  </si>
  <si>
    <t>100 m sus</t>
  </si>
  <si>
    <t>265 m sus</t>
  </si>
  <si>
    <t>1000 m sus</t>
  </si>
  <si>
    <t>100 m sink</t>
  </si>
  <si>
    <t>265 m sink</t>
  </si>
  <si>
    <t>965 m sink</t>
  </si>
  <si>
    <t>noenz ID's proteins</t>
  </si>
  <si>
    <t>noenz PSMs</t>
  </si>
  <si>
    <t>noenz de novo</t>
  </si>
  <si>
    <t>noenz db peptides</t>
  </si>
  <si>
    <t>TRYPSIN</t>
  </si>
  <si>
    <t>NON TRYPTIC</t>
  </si>
  <si>
    <t>Sample</t>
  </si>
  <si>
    <t>Epi suspended</t>
  </si>
  <si>
    <t>Meso suspended</t>
  </si>
  <si>
    <t>Bathy suspended</t>
  </si>
  <si>
    <t>Epi sinking</t>
  </si>
  <si>
    <t>Meso sinking</t>
  </si>
  <si>
    <t>Bathy sinking</t>
  </si>
  <si>
    <t>TPP database searched Cyanobacterial peptides</t>
  </si>
  <si>
    <t>De novo-assisted peptidomic Cyanobacterial peptides</t>
  </si>
  <si>
    <t>DB peptides matched to Cyano Unipept*</t>
  </si>
  <si>
    <t>* need to make this DB only</t>
  </si>
  <si>
    <t>Dikarya DNO</t>
  </si>
  <si>
    <t>total de novo only spectra &gt; 50% noenz</t>
  </si>
  <si>
    <t>% DNO peptides modified trypsin</t>
  </si>
  <si>
    <t>% DNO peptides modified noenz</t>
  </si>
  <si>
    <t>tryptic dno noenz &gt; 50%</t>
  </si>
  <si>
    <t>#noenz dno</t>
  </si>
  <si>
    <t>#tryptic</t>
  </si>
  <si>
    <t>#non-tryptic</t>
  </si>
  <si>
    <t>100m susp</t>
  </si>
  <si>
    <t>265m susp</t>
  </si>
  <si>
    <t>1000m susp</t>
  </si>
  <si>
    <t>100m sinking</t>
  </si>
  <si>
    <t>265m sinking</t>
  </si>
  <si>
    <t>965m sinking</t>
  </si>
  <si>
    <t>% tryptic</t>
  </si>
  <si>
    <t>suspended:</t>
  </si>
  <si>
    <t>sinking:</t>
  </si>
  <si>
    <t>normalized (5th x spacer data in suspened to account for bubble sizes of sinking vs suspended</t>
  </si>
  <si>
    <t>SUSPENDED:</t>
  </si>
  <si>
    <t>SINKING:</t>
  </si>
  <si>
    <t>MED4 dno</t>
  </si>
  <si>
    <t>MED4 db</t>
  </si>
  <si>
    <t>cytoplasm</t>
  </si>
  <si>
    <t>thylakoid membrane</t>
  </si>
  <si>
    <t>intracellular</t>
  </si>
  <si>
    <t>phycobilisome</t>
  </si>
  <si>
    <t>% cyanos that are membrane</t>
  </si>
  <si>
    <t>carbamidomethylation</t>
  </si>
  <si>
    <t>oxidation</t>
  </si>
  <si>
    <t>deamidation</t>
  </si>
  <si>
    <t>ubiquitination</t>
  </si>
  <si>
    <t>dehydration</t>
  </si>
  <si>
    <t>formylation</t>
  </si>
  <si>
    <t>methylation</t>
  </si>
  <si>
    <t>propionamide</t>
  </si>
  <si>
    <t>sodium adduct</t>
  </si>
  <si>
    <t>pyro-glu from Q</t>
  </si>
  <si>
    <t>sulphone</t>
  </si>
  <si>
    <t>carbamylation</t>
  </si>
  <si>
    <t>ethylation</t>
  </si>
  <si>
    <t>glycidamide adduct</t>
  </si>
  <si>
    <t>hydroxymethyl</t>
  </si>
  <si>
    <t>tryptophan oxidation to kynurenin</t>
  </si>
  <si>
    <t>replacement of proton by potassium</t>
  </si>
  <si>
    <t>replacement of 2 protons by calcium</t>
  </si>
  <si>
    <t>dihydroxy</t>
  </si>
  <si>
    <t>proline oxidation to pyrrolidinone</t>
  </si>
  <si>
    <t>hydroxylation</t>
  </si>
  <si>
    <t>replacement of proton with ammonium ion</t>
  </si>
  <si>
    <t>replacement of 2 protons by magnesium</t>
  </si>
  <si>
    <t>STY</t>
  </si>
  <si>
    <t>M</t>
  </si>
  <si>
    <t>C</t>
  </si>
  <si>
    <t>KR</t>
  </si>
  <si>
    <t xml:space="preserve">dimethylation </t>
  </si>
  <si>
    <t>Q</t>
  </si>
  <si>
    <t>Mass modification</t>
  </si>
  <si>
    <t>Modification</t>
  </si>
  <si>
    <t>Residues</t>
  </si>
  <si>
    <t>NQ</t>
  </si>
  <si>
    <t>+0.98</t>
  </si>
  <si>
    <t>+17.03</t>
  </si>
  <si>
    <t>+21.98</t>
  </si>
  <si>
    <t>+37.96</t>
  </si>
  <si>
    <t>-18.01</t>
  </si>
  <si>
    <t>+37.95</t>
  </si>
  <si>
    <t>+43.01</t>
  </si>
  <si>
    <t>+28.03</t>
  </si>
  <si>
    <t>+15.99</t>
  </si>
  <si>
    <t>+57.02</t>
  </si>
  <si>
    <t>+14.02</t>
  </si>
  <si>
    <t>+87.05</t>
  </si>
  <si>
    <t>phosphorylation to amine thiol</t>
  </si>
  <si>
    <t>+27.99</t>
  </si>
  <si>
    <t>+42.01</t>
  </si>
  <si>
    <t>acetylation (N-term)</t>
  </si>
  <si>
    <t>+71.04</t>
  </si>
  <si>
    <t>K  X@N-term</t>
  </si>
  <si>
    <t>deoxygenation</t>
  </si>
  <si>
    <t>-15.99</t>
  </si>
  <si>
    <t>tyrosine oxidation to 2-aminotyrosine</t>
  </si>
  <si>
    <t>+15.01</t>
  </si>
  <si>
    <t>Y</t>
  </si>
  <si>
    <t>+114.04</t>
  </si>
  <si>
    <t>-17.03</t>
  </si>
  <si>
    <t>+31.99</t>
  </si>
  <si>
    <t>+30.01</t>
  </si>
  <si>
    <t>+87.03</t>
  </si>
  <si>
    <t>+3.99</t>
  </si>
  <si>
    <t>R</t>
  </si>
  <si>
    <t>+21.97</t>
  </si>
  <si>
    <t>sulfation</t>
  </si>
  <si>
    <t>+79.96</t>
  </si>
  <si>
    <t>ammonia loss</t>
  </si>
  <si>
    <t>N</t>
  </si>
  <si>
    <t>+28.04</t>
  </si>
  <si>
    <t>P</t>
  </si>
  <si>
    <t>integral component of membrane</t>
  </si>
  <si>
    <t>GO:0016021</t>
  </si>
  <si>
    <t>GO:0005737</t>
  </si>
  <si>
    <t>GO:0042651</t>
  </si>
  <si>
    <t>plasma membrane</t>
  </si>
  <si>
    <t>ribosome</t>
  </si>
  <si>
    <t>GO:0005886</t>
  </si>
  <si>
    <t>GO:0005840</t>
  </si>
  <si>
    <t>GO:0005622</t>
  </si>
  <si>
    <t>GO:0030089</t>
  </si>
  <si>
    <t>Cyanobacteria peptides w/ GO matches</t>
  </si>
  <si>
    <t>100 m suspended db</t>
  </si>
  <si>
    <t>100 m suspended dno</t>
  </si>
  <si>
    <t>265 m suspended db</t>
  </si>
  <si>
    <t>265 m suspended dno</t>
  </si>
  <si>
    <t>1000 m suspended db</t>
  </si>
  <si>
    <t>1000 suspended dno</t>
  </si>
  <si>
    <t>100 m sinking db</t>
  </si>
  <si>
    <t>100 m sinking dno</t>
  </si>
  <si>
    <t>265 m sinking db</t>
  </si>
  <si>
    <t>265 m sinking dno</t>
  </si>
  <si>
    <t>965 m sinking db</t>
  </si>
  <si>
    <t>965 m sinking dno</t>
  </si>
  <si>
    <t>total peptides</t>
  </si>
  <si>
    <t>specifically matched to Cyanobacteria with Unipept LCA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</si>
</sst>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6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5" borderId="0" xfId="0" applyFill="1"/>
    <xf numFmtId="0" fontId="0" fillId="5" borderId="2" xfId="0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6" borderId="4" xfId="0" applyFill="1" applyBorder="1"/>
    <xf numFmtId="0" fontId="0" fillId="6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 wrapText="1"/>
    </xf>
    <xf numFmtId="0" fontId="0" fillId="4" borderId="5" xfId="0" applyFill="1" applyBorder="1"/>
    <xf numFmtId="0" fontId="0" fillId="4" borderId="5" xfId="0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5" fillId="2" borderId="8" xfId="0" applyFont="1" applyFill="1" applyBorder="1"/>
    <xf numFmtId="0" fontId="5" fillId="2" borderId="8" xfId="0" applyFont="1" applyFill="1" applyBorder="1" applyAlignment="1">
      <alignment horizontal="center" vertical="center"/>
    </xf>
    <xf numFmtId="0" fontId="5" fillId="7" borderId="7" xfId="0" applyFont="1" applyFill="1" applyBorder="1"/>
    <xf numFmtId="0" fontId="5" fillId="7" borderId="7" xfId="0" applyFont="1" applyFill="1" applyBorder="1" applyAlignment="1">
      <alignment horizontal="center" vertical="center"/>
    </xf>
    <xf numFmtId="0" fontId="5" fillId="7" borderId="6" xfId="0" applyFont="1" applyFill="1" applyBorder="1"/>
    <xf numFmtId="0" fontId="5" fillId="2" borderId="7" xfId="0" applyFont="1" applyFill="1" applyBorder="1"/>
    <xf numFmtId="0" fontId="5" fillId="2" borderId="7" xfId="0" applyFont="1" applyFill="1" applyBorder="1" applyAlignment="1">
      <alignment horizontal="center" vertical="center"/>
    </xf>
    <xf numFmtId="0" fontId="5" fillId="7" borderId="9" xfId="0" applyFont="1" applyFill="1" applyBorder="1"/>
    <xf numFmtId="0" fontId="5" fillId="7" borderId="9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left"/>
    </xf>
    <xf numFmtId="0" fontId="0" fillId="0" borderId="0" xfId="0" applyFont="1" applyBorder="1"/>
    <xf numFmtId="0" fontId="4" fillId="5" borderId="1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0" fontId="5" fillId="7" borderId="1" xfId="0" applyFont="1" applyFill="1" applyBorder="1"/>
    <xf numFmtId="0" fontId="5" fillId="0" borderId="1" xfId="0" applyFont="1" applyFill="1" applyBorder="1"/>
    <xf numFmtId="0" fontId="0" fillId="0" borderId="7" xfId="0" applyBorder="1" applyAlignment="1">
      <alignment horizontal="left"/>
    </xf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10" xfId="0" applyFill="1" applyBorder="1"/>
    <xf numFmtId="0" fontId="0" fillId="8" borderId="6" xfId="0" applyFill="1" applyBorder="1" applyAlignment="1">
      <alignment horizontal="right"/>
    </xf>
    <xf numFmtId="0" fontId="0" fillId="0" borderId="11" xfId="0" applyBorder="1"/>
    <xf numFmtId="0" fontId="0" fillId="8" borderId="12" xfId="0" applyFill="1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1" fillId="0" borderId="13" xfId="0" applyFont="1" applyBorder="1"/>
    <xf numFmtId="49" fontId="0" fillId="0" borderId="0" xfId="0" applyNumberFormat="1"/>
    <xf numFmtId="49" fontId="0" fillId="0" borderId="13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49" fontId="0" fillId="0" borderId="1" xfId="0" applyNumberFormat="1" applyFont="1" applyFill="1" applyBorder="1" applyAlignment="1">
      <alignment horizontal="right"/>
    </xf>
    <xf numFmtId="49" fontId="2" fillId="0" borderId="5" xfId="0" applyNumberFormat="1" applyFont="1" applyBorder="1"/>
    <xf numFmtId="49" fontId="6" fillId="0" borderId="15" xfId="0" applyNumberFormat="1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tiff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P2</a:t>
            </a:r>
            <a:r>
              <a:rPr lang="en-US" sz="2000" i="0" baseline="0"/>
              <a:t> </a:t>
            </a:r>
            <a:r>
              <a:rPr lang="en-US" sz="2000" i="0"/>
              <a:t>identified proteins</a:t>
            </a:r>
          </a:p>
        </c:rich>
      </c:tx>
      <c:layout>
        <c:manualLayout>
          <c:xMode val="edge"/>
          <c:yMode val="edge"/>
          <c:x val="0.391419607843137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45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EC-6B4B-9EBC-040D3F439B28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EC-6B4B-9EBC-040D3F439B28}"/>
              </c:ext>
            </c:extLst>
          </c:dPt>
          <c:dLbls>
            <c:dLbl>
              <c:idx val="0"/>
              <c:layout>
                <c:manualLayout>
                  <c:x val="1.5686274509803862E-2"/>
                  <c:y val="-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1285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EC-6B4B-9EBC-040D3F439B28}"/>
                </c:ext>
              </c:extLst>
            </c:dLbl>
            <c:dLbl>
              <c:idx val="1"/>
              <c:layout>
                <c:manualLayout>
                  <c:x val="1.2549019607843137E-2"/>
                  <c:y val="-4.72813238770689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1406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EC-6B4B-9EBC-040D3F439B28}"/>
                </c:ext>
              </c:extLst>
            </c:dLbl>
            <c:dLbl>
              <c:idx val="2"/>
              <c:layout>
                <c:manualLayout>
                  <c:x val="1.7254901960784313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EC-6B4B-9EBC-040D3F439B28}"/>
                </c:ext>
              </c:extLst>
            </c:dLbl>
            <c:dLbl>
              <c:idx val="3"/>
              <c:layout>
                <c:manualLayout>
                  <c:x val="1.411764705882353E-2"/>
                  <c:y val="5.200945626477545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1335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EC-6B4B-9EBC-040D3F439B2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EC-6B4B-9EBC-040D3F439B28}"/>
                </c:ext>
              </c:extLst>
            </c:dLbl>
            <c:dLbl>
              <c:idx val="5"/>
              <c:layout>
                <c:manualLayout>
                  <c:x val="1.8823529411764704E-2"/>
                  <c:y val="4.728132387706812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EC-6B4B-9EBC-040D3F439B28}"/>
                </c:ext>
              </c:extLst>
            </c:dLbl>
            <c:dLbl>
              <c:idx val="6"/>
              <c:layout>
                <c:manualLayout>
                  <c:x val="2.823529411764706E-2"/>
                  <c:y val="3.546099290780142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EC-6B4B-9EBC-040D3F439B28}"/>
                </c:ext>
              </c:extLst>
            </c:dLbl>
            <c:dLbl>
              <c:idx val="7"/>
              <c:layout>
                <c:manualLayout>
                  <c:x val="4.3921568627450981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EC-6B4B-9EBC-040D3F439B28}"/>
                </c:ext>
              </c:extLst>
            </c:dLbl>
            <c:dLbl>
              <c:idx val="8"/>
              <c:layout>
                <c:manualLayout>
                  <c:x val="4.7058823529411764E-2"/>
                  <c:y val="2.364066193853341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EC-6B4B-9EBC-040D3F439B2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EC-6B4B-9EBC-040D3F439B2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'[1]100-965 comparison'!$D$3:$D$13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'[1]100-965 comparison'!$B$3:$B$13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115</c:v>
                </c:pt>
                <c:pt idx="3">
                  <c:v>130</c:v>
                </c:pt>
                <c:pt idx="4">
                  <c:v>190</c:v>
                </c:pt>
                <c:pt idx="5">
                  <c:v>265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965</c:v>
                </c:pt>
                <c:pt idx="10">
                  <c:v>1200</c:v>
                </c:pt>
              </c:numCache>
            </c:numRef>
          </c:yVal>
          <c:bubbleSize>
            <c:numRef>
              <c:f>'[1]100-965 comparison'!$E$3:$E$13</c:f>
              <c:numCache>
                <c:formatCode>General</c:formatCode>
                <c:ptCount val="11"/>
                <c:pt idx="0">
                  <c:v>1285</c:v>
                </c:pt>
                <c:pt idx="1">
                  <c:v>1406</c:v>
                </c:pt>
                <c:pt idx="2">
                  <c:v>1216</c:v>
                </c:pt>
                <c:pt idx="3">
                  <c:v>1335</c:v>
                </c:pt>
                <c:pt idx="4">
                  <c:v>703</c:v>
                </c:pt>
                <c:pt idx="5">
                  <c:v>1170</c:v>
                </c:pt>
                <c:pt idx="6">
                  <c:v>824</c:v>
                </c:pt>
                <c:pt idx="7">
                  <c:v>432</c:v>
                </c:pt>
                <c:pt idx="8">
                  <c:v>340</c:v>
                </c:pt>
                <c:pt idx="9">
                  <c:v>24</c:v>
                </c:pt>
                <c:pt idx="10">
                  <c:v>37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59EC-6B4B-9EBC-040D3F439B28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49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9EC-6B4B-9EBC-040D3F439B2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9EC-6B4B-9EBC-040D3F439B2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EC-6B4B-9EBC-040D3F439B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EC-6B4B-9EBC-040D3F439B2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'[1]100-965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'[1]100-965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'[1]100-965 comparison'!$E$27:$E$29</c:f>
              <c:numCache>
                <c:formatCode>General</c:formatCode>
                <c:ptCount val="3"/>
                <c:pt idx="0">
                  <c:v>317</c:v>
                </c:pt>
                <c:pt idx="1">
                  <c:v>453</c:v>
                </c:pt>
                <c:pt idx="2">
                  <c:v>391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59EC-6B4B-9EBC-040D3F439B28}"/>
            </c:ext>
          </c:extLst>
        </c:ser>
        <c:ser>
          <c:idx val="2"/>
          <c:order val="2"/>
          <c:tx>
            <c:v>suspended (&gt;2.7 um)</c:v>
          </c:tx>
          <c:spPr>
            <a:solidFill>
              <a:srgbClr val="FF0000">
                <a:alpha val="60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6.2745098039214539E-3"/>
                  <c:y val="-2.36406619385347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9EC-6B4B-9EBC-040D3F439B28}"/>
                </c:ext>
              </c:extLst>
            </c:dLbl>
            <c:dLbl>
              <c:idx val="1"/>
              <c:layout>
                <c:manualLayout>
                  <c:x val="1.0980392156862745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327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9EC-6B4B-9EBC-040D3F439B28}"/>
                </c:ext>
              </c:extLst>
            </c:dLbl>
            <c:dLbl>
              <c:idx val="2"/>
              <c:layout>
                <c:manualLayout>
                  <c:x val="1.8039400957233286E-2"/>
                  <c:y val="3.073304666703896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213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86666666666666E-2"/>
                      <c:h val="4.56264775413711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6-59EC-6B4B-9EBC-040D3F439B28}"/>
                </c:ext>
              </c:extLst>
            </c:dLbl>
            <c:dLbl>
              <c:idx val="3"/>
              <c:layout>
                <c:manualLayout>
                  <c:x val="1.8823529411764704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9EC-6B4B-9EBC-040D3F439B28}"/>
                </c:ext>
              </c:extLst>
            </c:dLbl>
            <c:dLbl>
              <c:idx val="4"/>
              <c:layout>
                <c:manualLayout>
                  <c:x val="1.5686274509803921E-2"/>
                  <c:y val="2.83687943262411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9EC-6B4B-9EBC-040D3F439B28}"/>
                </c:ext>
              </c:extLst>
            </c:dLbl>
            <c:dLbl>
              <c:idx val="5"/>
              <c:layout>
                <c:manualLayout>
                  <c:x val="2.5098039215686159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'[1]100-965 comparison'!$D$17:$D$22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xVal>
          <c:yVal>
            <c:numRef>
              <c:f>'[1]100-965 comparison'!$B$17:$B$22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yVal>
          <c:bubbleSize>
            <c:numRef>
              <c:f>'[1]100-965 comparison'!$E$17:$E$22</c:f>
              <c:numCache>
                <c:formatCode>General</c:formatCode>
                <c:ptCount val="6"/>
                <c:pt idx="0">
                  <c:v>438</c:v>
                </c:pt>
                <c:pt idx="1">
                  <c:v>327</c:v>
                </c:pt>
                <c:pt idx="2">
                  <c:v>213</c:v>
                </c:pt>
                <c:pt idx="3">
                  <c:v>187</c:v>
                </c:pt>
                <c:pt idx="4">
                  <c:v>251</c:v>
                </c:pt>
                <c:pt idx="5">
                  <c:v>111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A-59EC-6B4B-9EBC-040D3F439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database</c:v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6E3-C449-B472-0975DDCD7F1A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5">
                <a:lumMod val="40000"/>
                <a:lumOff val="60000"/>
                <a:alpha val="57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46E3-C449-B472-0975DDCD7F1A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6E3-C449-B472-0975DDCD7F1A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samples'!$O$5:$O$7</c:f>
              <c:numCache>
                <c:formatCode>General</c:formatCode>
                <c:ptCount val="3"/>
                <c:pt idx="0">
                  <c:v>1282</c:v>
                </c:pt>
                <c:pt idx="1">
                  <c:v>9325</c:v>
                </c:pt>
                <c:pt idx="2">
                  <c:v>7611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46E3-C449-B472-0975DDCD7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database</c:v>
          </c:tx>
          <c:spPr>
            <a:solidFill>
              <a:schemeClr val="accent1">
                <a:lumMod val="50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samples'!$AB$2:$AB$4</c:f>
              <c:numCache>
                <c:formatCode>General</c:formatCode>
                <c:ptCount val="3"/>
                <c:pt idx="0">
                  <c:v>1463</c:v>
                </c:pt>
                <c:pt idx="1">
                  <c:v>1041</c:v>
                </c:pt>
                <c:pt idx="2">
                  <c:v>386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AEA-5A49-8290-B8B79519B4FE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5">
                <a:lumMod val="75000"/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samples'!$AC$2:$AC$4</c:f>
              <c:numCache>
                <c:formatCode>General</c:formatCode>
                <c:ptCount val="3"/>
                <c:pt idx="0">
                  <c:v>3784</c:v>
                </c:pt>
                <c:pt idx="1">
                  <c:v>3122</c:v>
                </c:pt>
                <c:pt idx="2">
                  <c:v>1841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AEA-5A49-8290-B8B79519B4FE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lumMod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samples'!$AB$5:$AB$7</c:f>
              <c:numCache>
                <c:formatCode>General</c:formatCode>
                <c:ptCount val="3"/>
                <c:pt idx="0">
                  <c:v>292</c:v>
                </c:pt>
                <c:pt idx="1">
                  <c:v>738</c:v>
                </c:pt>
                <c:pt idx="2">
                  <c:v>632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0AEA-5A49-8290-B8B79519B4FE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lumMod val="75000"/>
                <a:alpha val="73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0.15089231766588271"/>
                  <c:y val="0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FDB-3647-9ABF-7C953E84C1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samples'!$AC$5:$AC$7</c:f>
              <c:numCache>
                <c:formatCode>General</c:formatCode>
                <c:ptCount val="3"/>
                <c:pt idx="0">
                  <c:v>1476</c:v>
                </c:pt>
                <c:pt idx="1">
                  <c:v>12235</c:v>
                </c:pt>
                <c:pt idx="2">
                  <c:v>10532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0AEA-5A49-8290-B8B79519B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db tryptic</c:v>
          </c:tx>
          <c:spPr>
            <a:solidFill>
              <a:schemeClr val="accent1">
                <a:alpha val="54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35EC-0745-A396-DFB0657A4039}"/>
            </c:ext>
          </c:extLst>
        </c:ser>
        <c:ser>
          <c:idx val="2"/>
          <c:order val="1"/>
          <c:tx>
            <c:v>suspended dno tryptic</c:v>
          </c:tx>
          <c:spPr>
            <a:solidFill>
              <a:schemeClr val="accent5">
                <a:lumMod val="40000"/>
                <a:lumOff val="60000"/>
                <a:alpha val="57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35EC-0745-A396-DFB0657A4039}"/>
            </c:ext>
          </c:extLst>
        </c:ser>
        <c:ser>
          <c:idx val="1"/>
          <c:order val="2"/>
          <c:tx>
            <c:v>suspended db noenz</c:v>
          </c:tx>
          <c:spPr>
            <a:solidFill>
              <a:schemeClr val="accent2">
                <a:lumMod val="75000"/>
                <a:alpha val="89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samples'!$AB$2:$AB$4</c:f>
              <c:numCache>
                <c:formatCode>General</c:formatCode>
                <c:ptCount val="3"/>
                <c:pt idx="0">
                  <c:v>1463</c:v>
                </c:pt>
                <c:pt idx="1">
                  <c:v>1041</c:v>
                </c:pt>
                <c:pt idx="2">
                  <c:v>386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35EC-0745-A396-DFB0657A4039}"/>
            </c:ext>
          </c:extLst>
        </c:ser>
        <c:ser>
          <c:idx val="3"/>
          <c:order val="3"/>
          <c:tx>
            <c:v>suspended dno noenz</c:v>
          </c:tx>
          <c:spPr>
            <a:solidFill>
              <a:schemeClr val="accent4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samples'!$AC$2:$AC$4</c:f>
              <c:numCache>
                <c:formatCode>General</c:formatCode>
                <c:ptCount val="3"/>
                <c:pt idx="0">
                  <c:v>3784</c:v>
                </c:pt>
                <c:pt idx="1">
                  <c:v>3122</c:v>
                </c:pt>
                <c:pt idx="2">
                  <c:v>1841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35EC-0745-A396-DFB0657A4039}"/>
            </c:ext>
          </c:extLst>
        </c:ser>
        <c:ser>
          <c:idx val="4"/>
          <c:order val="4"/>
          <c:tx>
            <c:v>normalizer</c:v>
          </c:tx>
          <c:spPr>
            <a:solidFill>
              <a:schemeClr val="accent5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samples'!$C$14:$C$16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samples'!$AC$5:$AC$7</c:f>
              <c:numCache>
                <c:formatCode>General</c:formatCode>
                <c:ptCount val="3"/>
                <c:pt idx="0">
                  <c:v>1476</c:v>
                </c:pt>
                <c:pt idx="1">
                  <c:v>12235</c:v>
                </c:pt>
                <c:pt idx="2">
                  <c:v>10532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35EC-0745-A396-DFB0657A4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sinking db trypsin</c:v>
          </c:tx>
          <c:spPr>
            <a:solidFill>
              <a:schemeClr val="accent1">
                <a:alpha val="54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ECC-D545-A8B4-D560082B5AD1}"/>
            </c:ext>
          </c:extLst>
        </c:ser>
        <c:ser>
          <c:idx val="2"/>
          <c:order val="1"/>
          <c:tx>
            <c:v>sinking dno trypsin</c:v>
          </c:tx>
          <c:spPr>
            <a:solidFill>
              <a:schemeClr val="accent5">
                <a:lumMod val="40000"/>
                <a:lumOff val="60000"/>
                <a:alpha val="57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samples'!$O$5:$O$7</c:f>
              <c:numCache>
                <c:formatCode>General</c:formatCode>
                <c:ptCount val="3"/>
                <c:pt idx="0">
                  <c:v>1282</c:v>
                </c:pt>
                <c:pt idx="1">
                  <c:v>9325</c:v>
                </c:pt>
                <c:pt idx="2">
                  <c:v>7611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8ECC-D545-A8B4-D560082B5AD1}"/>
            </c:ext>
          </c:extLst>
        </c:ser>
        <c:ser>
          <c:idx val="1"/>
          <c:order val="2"/>
          <c:tx>
            <c:v>sinking db noenz</c:v>
          </c:tx>
          <c:spPr>
            <a:solidFill>
              <a:schemeClr val="accent2">
                <a:lumMod val="75000"/>
                <a:alpha val="89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samples'!$AB$5:$AB$7</c:f>
              <c:numCache>
                <c:formatCode>General</c:formatCode>
                <c:ptCount val="3"/>
                <c:pt idx="0">
                  <c:v>292</c:v>
                </c:pt>
                <c:pt idx="1">
                  <c:v>738</c:v>
                </c:pt>
                <c:pt idx="2">
                  <c:v>632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8ECC-D545-A8B4-D560082B5AD1}"/>
            </c:ext>
          </c:extLst>
        </c:ser>
        <c:ser>
          <c:idx val="3"/>
          <c:order val="3"/>
          <c:tx>
            <c:v>sinking dno noenz</c:v>
          </c:tx>
          <c:spPr>
            <a:solidFill>
              <a:schemeClr val="accent4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0.15594488793810243"/>
                  <c:y val="2.2710069483871647E-3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CC-D545-A8B4-D560082B5A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samples'!$AC$5:$AC$7</c:f>
              <c:numCache>
                <c:formatCode>General</c:formatCode>
                <c:ptCount val="3"/>
                <c:pt idx="0">
                  <c:v>1476</c:v>
                </c:pt>
                <c:pt idx="1">
                  <c:v>12235</c:v>
                </c:pt>
                <c:pt idx="2">
                  <c:v>10532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8ECC-D545-A8B4-D560082B5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Peptide</a:t>
            </a:r>
            <a:r>
              <a:rPr lang="en-US" sz="1600" baseline="0">
                <a:solidFill>
                  <a:schemeClr val="tx1"/>
                </a:solidFill>
              </a:rPr>
              <a:t> modification distribution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Carbomidomethylation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mods'!$Q$2:$V$2</c:f>
              <c:numCache>
                <c:formatCode>General</c:formatCode>
                <c:ptCount val="6"/>
                <c:pt idx="0">
                  <c:v>0.13806451612903226</c:v>
                </c:pt>
                <c:pt idx="1">
                  <c:v>0.16878402903811252</c:v>
                </c:pt>
                <c:pt idx="2">
                  <c:v>0.13207547169811321</c:v>
                </c:pt>
                <c:pt idx="3">
                  <c:v>0.11538461538461539</c:v>
                </c:pt>
                <c:pt idx="4">
                  <c:v>0.14102564102564102</c:v>
                </c:pt>
                <c:pt idx="5">
                  <c:v>0.13793103448275862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D-D24D-BC53-0D3C2AF28938}"/>
            </c:ext>
          </c:extLst>
        </c:ser>
        <c:ser>
          <c:idx val="1"/>
          <c:order val="1"/>
          <c:tx>
            <c:v>Oxidation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mods'!$Q$3:$V$3</c:f>
              <c:numCache>
                <c:formatCode>General</c:formatCode>
                <c:ptCount val="6"/>
                <c:pt idx="0">
                  <c:v>0.15096774193548387</c:v>
                </c:pt>
                <c:pt idx="1">
                  <c:v>0.10344827586206896</c:v>
                </c:pt>
                <c:pt idx="2">
                  <c:v>0.16037735849056603</c:v>
                </c:pt>
                <c:pt idx="3">
                  <c:v>0.13076923076923078</c:v>
                </c:pt>
                <c:pt idx="4">
                  <c:v>0.19230769230769232</c:v>
                </c:pt>
                <c:pt idx="5">
                  <c:v>0.2019704433497537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DD-D24D-BC53-0D3C2AF28938}"/>
            </c:ext>
          </c:extLst>
        </c:ser>
        <c:ser>
          <c:idx val="2"/>
          <c:order val="2"/>
          <c:tx>
            <c:v>Deamidation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mods'!$Q$4:$V$4</c:f>
              <c:numCache>
                <c:formatCode>General</c:formatCode>
                <c:ptCount val="6"/>
                <c:pt idx="0">
                  <c:v>6.7096774193548384E-2</c:v>
                </c:pt>
                <c:pt idx="1">
                  <c:v>0.10163339382940109</c:v>
                </c:pt>
                <c:pt idx="2">
                  <c:v>9.4339622641509441E-2</c:v>
                </c:pt>
                <c:pt idx="3">
                  <c:v>5.3846153846153849E-2</c:v>
                </c:pt>
                <c:pt idx="4">
                  <c:v>2.8846153846153848E-2</c:v>
                </c:pt>
                <c:pt idx="5">
                  <c:v>5.4187192118226604E-2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DD-D24D-BC53-0D3C2AF28938}"/>
            </c:ext>
          </c:extLst>
        </c:ser>
        <c:ser>
          <c:idx val="3"/>
          <c:order val="3"/>
          <c:tx>
            <c:v>Acetylation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mods'!$Q$5:$V$5</c:f>
              <c:numCache>
                <c:formatCode>General</c:formatCode>
                <c:ptCount val="6"/>
                <c:pt idx="0">
                  <c:v>2.0645161290322581E-2</c:v>
                </c:pt>
                <c:pt idx="1">
                  <c:v>2.1778584392014518E-2</c:v>
                </c:pt>
                <c:pt idx="2">
                  <c:v>9.433962264150943E-3</c:v>
                </c:pt>
                <c:pt idx="3">
                  <c:v>2.3076923076923078E-2</c:v>
                </c:pt>
                <c:pt idx="4">
                  <c:v>3.205128205128205E-3</c:v>
                </c:pt>
                <c:pt idx="5">
                  <c:v>9.852216748768473E-3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DD-D24D-BC53-0D3C2AF28938}"/>
            </c:ext>
          </c:extLst>
        </c:ser>
        <c:ser>
          <c:idx val="4"/>
          <c:order val="4"/>
          <c:tx>
            <c:v>Ubiquitination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mods'!$Q$6:$V$6</c:f>
              <c:numCache>
                <c:formatCode>General</c:formatCode>
                <c:ptCount val="6"/>
                <c:pt idx="0">
                  <c:v>2.5806451612903226E-3</c:v>
                </c:pt>
                <c:pt idx="1">
                  <c:v>1.8148820326678765E-3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DD-D24D-BC53-0D3C2AF28938}"/>
            </c:ext>
          </c:extLst>
        </c:ser>
        <c:ser>
          <c:idx val="5"/>
          <c:order val="5"/>
          <c:tx>
            <c:v>Dehydration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E4-FC43-BB79-FBB3788843E5}"/>
              </c:ext>
            </c:extLst>
          </c:dPt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mods'!$Q$7:$V$7</c:f>
              <c:numCache>
                <c:formatCode>General</c:formatCode>
                <c:ptCount val="6"/>
                <c:pt idx="0">
                  <c:v>1.032258064516129E-2</c:v>
                </c:pt>
                <c:pt idx="1">
                  <c:v>1.6333938294010888E-2</c:v>
                </c:pt>
                <c:pt idx="2">
                  <c:v>3.7735849056603772E-2</c:v>
                </c:pt>
                <c:pt idx="3">
                  <c:v>3.8461538461538464E-2</c:v>
                </c:pt>
                <c:pt idx="4">
                  <c:v>2.8846153846153848E-2</c:v>
                </c:pt>
                <c:pt idx="5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DD-D24D-BC53-0D3C2AF28938}"/>
            </c:ext>
          </c:extLst>
        </c:ser>
        <c:ser>
          <c:idx val="6"/>
          <c:order val="6"/>
          <c:tx>
            <c:v>Formylation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mods'!$Q$8:$V$8</c:f>
              <c:numCache>
                <c:formatCode>General</c:formatCode>
                <c:ptCount val="6"/>
                <c:pt idx="0">
                  <c:v>2.4516129032258065E-2</c:v>
                </c:pt>
                <c:pt idx="1">
                  <c:v>1.6333938294010888E-2</c:v>
                </c:pt>
                <c:pt idx="2">
                  <c:v>0</c:v>
                </c:pt>
                <c:pt idx="3">
                  <c:v>7.6923076923076927E-3</c:v>
                </c:pt>
                <c:pt idx="4">
                  <c:v>9.6153846153846159E-3</c:v>
                </c:pt>
                <c:pt idx="5">
                  <c:v>9.852216748768473E-3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DD-D24D-BC53-0D3C2AF28938}"/>
            </c:ext>
          </c:extLst>
        </c:ser>
        <c:ser>
          <c:idx val="7"/>
          <c:order val="7"/>
          <c:tx>
            <c:v>Methylation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mods'!$Q$9:$V$9</c:f>
              <c:numCache>
                <c:formatCode>General</c:formatCode>
                <c:ptCount val="6"/>
                <c:pt idx="0">
                  <c:v>0.17290322580645162</c:v>
                </c:pt>
                <c:pt idx="1">
                  <c:v>0.18874773139745918</c:v>
                </c:pt>
                <c:pt idx="2">
                  <c:v>0.14150943396226415</c:v>
                </c:pt>
                <c:pt idx="3">
                  <c:v>0.16153846153846155</c:v>
                </c:pt>
                <c:pt idx="4">
                  <c:v>0.17628205128205129</c:v>
                </c:pt>
                <c:pt idx="5">
                  <c:v>0.15763546798029557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DD-D24D-BC53-0D3C2AF28938}"/>
            </c:ext>
          </c:extLst>
        </c:ser>
        <c:ser>
          <c:idx val="8"/>
          <c:order val="8"/>
          <c:tx>
            <c:v>Ethylation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mods'!$Q$18:$V$18</c:f>
              <c:numCache>
                <c:formatCode>General</c:formatCode>
                <c:ptCount val="6"/>
                <c:pt idx="0">
                  <c:v>0.17935483870967742</c:v>
                </c:pt>
                <c:pt idx="1">
                  <c:v>0.19600725952813067</c:v>
                </c:pt>
                <c:pt idx="2">
                  <c:v>0.16037735849056603</c:v>
                </c:pt>
                <c:pt idx="3">
                  <c:v>0.16923076923076924</c:v>
                </c:pt>
                <c:pt idx="4">
                  <c:v>0.17948717948717949</c:v>
                </c:pt>
                <c:pt idx="5">
                  <c:v>0.1625615763546798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DD-D24D-BC53-0D3C2AF28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705055"/>
        <c:axId val="1890608159"/>
      </c:barChart>
      <c:catAx>
        <c:axId val="189070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608159"/>
        <c:crosses val="autoZero"/>
        <c:auto val="1"/>
        <c:lblAlgn val="ctr"/>
        <c:lblOffset val="100"/>
        <c:noMultiLvlLbl val="0"/>
      </c:catAx>
      <c:valAx>
        <c:axId val="1890608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Fraction of modifications</a:t>
                </a:r>
              </a:p>
            </c:rich>
          </c:tx>
          <c:layout>
            <c:manualLayout>
              <c:xMode val="edge"/>
              <c:yMode val="edge"/>
              <c:x val="7.5585789871504159E-3"/>
              <c:y val="0.36241809799681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0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suspended POM de novo only</a:t>
            </a:r>
            <a:r>
              <a:rPr lang="en-US" baseline="0">
                <a:solidFill>
                  <a:schemeClr val="tx1"/>
                </a:solidFill>
              </a:rPr>
              <a:t> peptides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tryptic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'tryp vs noenz'!$U$2:$U$4</c:f>
              <c:numCache>
                <c:formatCode>General</c:formatCode>
                <c:ptCount val="3"/>
                <c:pt idx="0">
                  <c:v>0.27698574338085502</c:v>
                </c:pt>
                <c:pt idx="1">
                  <c:v>0.29572529782760998</c:v>
                </c:pt>
                <c:pt idx="2">
                  <c:v>0.30727969348659001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1-5D4A-A325-632464533B22}"/>
            </c:ext>
          </c:extLst>
        </c:ser>
        <c:ser>
          <c:idx val="1"/>
          <c:order val="1"/>
          <c:tx>
            <c:v>no enzyme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'tryp vs noenz'!$V$2:$V$4</c:f>
              <c:numCache>
                <c:formatCode>General</c:formatCode>
                <c:ptCount val="3"/>
                <c:pt idx="0">
                  <c:v>0.186409307244844</c:v>
                </c:pt>
                <c:pt idx="1">
                  <c:v>0.18612573552183301</c:v>
                </c:pt>
                <c:pt idx="2">
                  <c:v>0.18136714443219401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C1-5D4A-A325-632464533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0"/>
        <c:overlap val="-35"/>
        <c:axId val="384247520"/>
        <c:axId val="384295920"/>
      </c:barChart>
      <c:catAx>
        <c:axId val="38424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95920"/>
        <c:crosses val="autoZero"/>
        <c:auto val="1"/>
        <c:lblAlgn val="ctr"/>
        <c:lblOffset val="100"/>
        <c:noMultiLvlLbl val="0"/>
      </c:catAx>
      <c:valAx>
        <c:axId val="384295920"/>
        <c:scaling>
          <c:orientation val="minMax"/>
          <c:max val="0.700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% peptidse modified</a:t>
                </a:r>
              </a:p>
            </c:rich>
          </c:tx>
          <c:layout>
            <c:manualLayout>
              <c:xMode val="edge"/>
              <c:yMode val="edge"/>
              <c:x val="6.7340067340067337E-3"/>
              <c:y val="0.31552806344046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4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53946287017153"/>
          <c:y val="0.1767610054081318"/>
          <c:w val="0.28935284604575945"/>
          <c:h val="0.337189452741894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sinking POM de novo only</a:t>
            </a:r>
            <a:r>
              <a:rPr lang="en-US" baseline="0">
                <a:solidFill>
                  <a:schemeClr val="tx1"/>
                </a:solidFill>
              </a:rPr>
              <a:t> peptides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tryptic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'tryp vs noenz'!$U$5:$U$7</c:f>
              <c:numCache>
                <c:formatCode>General</c:formatCode>
                <c:ptCount val="3"/>
                <c:pt idx="0">
                  <c:v>0.34321372854914101</c:v>
                </c:pt>
                <c:pt idx="1">
                  <c:v>0.57608579088471801</c:v>
                </c:pt>
                <c:pt idx="2">
                  <c:v>0.52069373275522202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8-5448-B61F-39019FED2644}"/>
            </c:ext>
          </c:extLst>
        </c:ser>
        <c:ser>
          <c:idx val="1"/>
          <c:order val="1"/>
          <c:tx>
            <c:v>no enzyme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'tryp vs noenz'!$V$5:$V$7</c:f>
              <c:numCache>
                <c:formatCode>General</c:formatCode>
                <c:ptCount val="3"/>
                <c:pt idx="0">
                  <c:v>0.23780487804878001</c:v>
                </c:pt>
                <c:pt idx="1">
                  <c:v>0.28426644871270901</c:v>
                </c:pt>
                <c:pt idx="2">
                  <c:v>0.251044436004557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8-5448-B61F-39019FED2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0"/>
        <c:overlap val="-35"/>
        <c:axId val="384247520"/>
        <c:axId val="384295920"/>
      </c:barChart>
      <c:catAx>
        <c:axId val="38424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95920"/>
        <c:crosses val="autoZero"/>
        <c:auto val="1"/>
        <c:lblAlgn val="ctr"/>
        <c:lblOffset val="100"/>
        <c:noMultiLvlLbl val="0"/>
      </c:catAx>
      <c:valAx>
        <c:axId val="384295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% peptides modified</a:t>
                </a:r>
              </a:p>
            </c:rich>
          </c:tx>
          <c:layout>
            <c:manualLayout>
              <c:xMode val="edge"/>
              <c:yMode val="edge"/>
              <c:x val="1.1160714285714286E-2"/>
              <c:y val="0.28365959593129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4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db tryptic mods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noenz'!$AB$2:$AB$4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noenz'!$W$2:$W$4</c:f>
              <c:numCache>
                <c:formatCode>General</c:formatCode>
                <c:ptCount val="3"/>
                <c:pt idx="0">
                  <c:v>0.114906832298136</c:v>
                </c:pt>
                <c:pt idx="1">
                  <c:v>9.4059405940594004E-2</c:v>
                </c:pt>
                <c:pt idx="2">
                  <c:v>7.7568134171907693E-2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DA8-FB43-AC84-6A7239EFF82F}"/>
            </c:ext>
          </c:extLst>
        </c:ser>
        <c:ser>
          <c:idx val="2"/>
          <c:order val="1"/>
          <c:tx>
            <c:v>suspended dno tryptic mods</c:v>
          </c:tx>
          <c:spPr>
            <a:solidFill>
              <a:schemeClr val="accent3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noenz'!$AC$2:$AC$4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noenz'!$U$2:$U$4</c:f>
              <c:numCache>
                <c:formatCode>General</c:formatCode>
                <c:ptCount val="3"/>
                <c:pt idx="0">
                  <c:v>0.27698574338085502</c:v>
                </c:pt>
                <c:pt idx="1">
                  <c:v>0.29572529782760998</c:v>
                </c:pt>
                <c:pt idx="2">
                  <c:v>0.30727969348659001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EDA8-FB43-AC84-6A7239EFF82F}"/>
            </c:ext>
          </c:extLst>
        </c:ser>
        <c:ser>
          <c:idx val="1"/>
          <c:order val="2"/>
          <c:tx>
            <c:v>suspended dno noenz mods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noenz'!$AD$2:$AD$4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noenz'!$V$2:$V$4</c:f>
              <c:numCache>
                <c:formatCode>General</c:formatCode>
                <c:ptCount val="3"/>
                <c:pt idx="0">
                  <c:v>0.186409307244844</c:v>
                </c:pt>
                <c:pt idx="1">
                  <c:v>0.18612573552183301</c:v>
                </c:pt>
                <c:pt idx="2">
                  <c:v>0.18136714443219401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EDA8-FB43-AC84-6A7239EFF82F}"/>
            </c:ext>
          </c:extLst>
        </c:ser>
        <c:ser>
          <c:idx val="3"/>
          <c:order val="3"/>
          <c:tx>
            <c:v>normalizer</c:v>
          </c:tx>
          <c:spPr>
            <a:solidFill>
              <a:schemeClr val="accent4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'tryp vs noenz'!$AE$2:$AE$4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noenz'!$U$5:$U$7</c:f>
              <c:numCache>
                <c:formatCode>General</c:formatCode>
                <c:ptCount val="3"/>
                <c:pt idx="0">
                  <c:v>0.34321372854914101</c:v>
                </c:pt>
                <c:pt idx="1">
                  <c:v>0.57608579088471801</c:v>
                </c:pt>
                <c:pt idx="2">
                  <c:v>0.52069373275522202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EDA8-FB43-AC84-6A7239EFF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3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sinking db tryptic mods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noenz'!$AB$2:$AB$4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noenz'!$W$5:$W$7</c:f>
              <c:numCache>
                <c:formatCode>General</c:formatCode>
                <c:ptCount val="3"/>
                <c:pt idx="0">
                  <c:v>8.7878787878787806E-2</c:v>
                </c:pt>
                <c:pt idx="1">
                  <c:v>0.12838633686690201</c:v>
                </c:pt>
                <c:pt idx="2">
                  <c:v>0.110599078341013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E01-8B4C-ADE8-DF87004CD6BB}"/>
            </c:ext>
          </c:extLst>
        </c:ser>
        <c:ser>
          <c:idx val="2"/>
          <c:order val="1"/>
          <c:tx>
            <c:v>sinking dno tryptic mods</c:v>
          </c:tx>
          <c:spPr>
            <a:solidFill>
              <a:schemeClr val="accent3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noenz'!$AC$2:$AC$4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noenz'!$U$5:$U$7</c:f>
              <c:numCache>
                <c:formatCode>General</c:formatCode>
                <c:ptCount val="3"/>
                <c:pt idx="0">
                  <c:v>0.34321372854914101</c:v>
                </c:pt>
                <c:pt idx="1">
                  <c:v>0.57608579088471801</c:v>
                </c:pt>
                <c:pt idx="2">
                  <c:v>0.52069373275522202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EE01-8B4C-ADE8-DF87004CD6BB}"/>
            </c:ext>
          </c:extLst>
        </c:ser>
        <c:ser>
          <c:idx val="1"/>
          <c:order val="2"/>
          <c:tx>
            <c:v>sinking dno noenz mods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noenz'!$AD$2:$AD$4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noenz'!$V$5:$V$7</c:f>
              <c:numCache>
                <c:formatCode>General</c:formatCode>
                <c:ptCount val="3"/>
                <c:pt idx="0">
                  <c:v>0.23780487804878001</c:v>
                </c:pt>
                <c:pt idx="1">
                  <c:v>0.28426644871270901</c:v>
                </c:pt>
                <c:pt idx="2">
                  <c:v>0.251044436004557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EE01-8B4C-ADE8-DF87004CD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3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tx1"/>
                </a:solidFill>
              </a:rPr>
              <a:t>identified proteins</a:t>
            </a:r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samples'!$L$2:$L$4</c:f>
              <c:numCache>
                <c:formatCode>General</c:formatCode>
                <c:ptCount val="3"/>
                <c:pt idx="0">
                  <c:v>1467</c:v>
                </c:pt>
                <c:pt idx="1">
                  <c:v>1243</c:v>
                </c:pt>
                <c:pt idx="2">
                  <c:v>319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B97E-AA48-851A-791806DA51CA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samples'!$D$8:$D$10</c:f>
              <c:numCache>
                <c:formatCode>General</c:formatCode>
                <c:ptCount val="3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samples'!$L$5:$L$7</c:f>
              <c:numCache>
                <c:formatCode>General</c:formatCode>
                <c:ptCount val="3"/>
                <c:pt idx="0">
                  <c:v>317</c:v>
                </c:pt>
                <c:pt idx="1">
                  <c:v>453</c:v>
                </c:pt>
                <c:pt idx="2">
                  <c:v>391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B97E-AA48-851A-791806DA5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database identified peptides</a:t>
            </a:r>
            <a:r>
              <a:rPr lang="en-US" sz="2000" i="0" baseline="0"/>
              <a:t> </a:t>
            </a:r>
            <a:endParaRPr lang="en-US" sz="2000" i="0"/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7198-F543-8CDB-A6FB1405C943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7198-F543-8CDB-A6FB1405C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1"/>
              <a:t>de novo </a:t>
            </a:r>
            <a:r>
              <a:rPr lang="en-US" sz="2000" i="0"/>
              <a:t>only peptides</a:t>
            </a:r>
            <a:r>
              <a:rPr lang="en-US" sz="2000" i="0" baseline="0"/>
              <a:t> </a:t>
            </a:r>
            <a:endParaRPr lang="en-US" sz="2000" i="0"/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31D-1A4F-932B-025AA061384E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samples'!$P$5:$P$7</c:f>
              <c:numCache>
                <c:formatCode>General</c:formatCode>
                <c:ptCount val="3"/>
                <c:pt idx="0">
                  <c:v>1207</c:v>
                </c:pt>
                <c:pt idx="1">
                  <c:v>9050</c:v>
                </c:pt>
                <c:pt idx="2">
                  <c:v>7239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31D-1A4F-932B-025AA0613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MS spectra</a:t>
            </a:r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samples'!$I$2:$I$4</c:f>
              <c:numCache>
                <c:formatCode>General</c:formatCode>
                <c:ptCount val="3"/>
                <c:pt idx="0">
                  <c:v>19284</c:v>
                </c:pt>
                <c:pt idx="1">
                  <c:v>19978</c:v>
                </c:pt>
                <c:pt idx="2">
                  <c:v>20664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97C-3B4F-8DCA-BB6CE101DD73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samples'!$I$5:$I$7</c:f>
              <c:numCache>
                <c:formatCode>General</c:formatCode>
                <c:ptCount val="3"/>
                <c:pt idx="0">
                  <c:v>22679</c:v>
                </c:pt>
                <c:pt idx="1">
                  <c:v>16029</c:v>
                </c:pt>
                <c:pt idx="2">
                  <c:v>17216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97C-3B4F-8DCA-BB6CE101D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MSMS spectra</a:t>
            </a:r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samples'!$J$2:$J$4</c:f>
              <c:numCache>
                <c:formatCode>General</c:formatCode>
                <c:ptCount val="3"/>
                <c:pt idx="0">
                  <c:v>21252</c:v>
                </c:pt>
                <c:pt idx="1">
                  <c:v>18899</c:v>
                </c:pt>
                <c:pt idx="2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6BE-1D4D-844E-EFA72F75D341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samples'!$J$5:$J$7</c:f>
              <c:numCache>
                <c:formatCode>General</c:formatCode>
                <c:ptCount val="3"/>
                <c:pt idx="0">
                  <c:v>9540</c:v>
                </c:pt>
                <c:pt idx="1">
                  <c:v>36021</c:v>
                </c:pt>
                <c:pt idx="2">
                  <c:v>30735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6BE-1D4D-844E-EFA72F75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Raw mass spectra</a:t>
            </a:r>
          </a:p>
        </c:rich>
      </c:tx>
      <c:layout>
        <c:manualLayout>
          <c:xMode val="edge"/>
          <c:yMode val="edge"/>
          <c:x val="0.4707238833951726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MS</c:v>
          </c:tx>
          <c:spPr>
            <a:blipFill dpi="0" rotWithShape="1">
              <a:blip xmlns:r="http://schemas.openxmlformats.org/officeDocument/2006/relationships" r:embed="rId3">
                <a:alphaModFix amt="53000"/>
              </a:blip>
              <a:srcRect/>
              <a:stretch>
                <a:fillRect/>
              </a:stretch>
            </a:blip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samples'!$I$2:$I$4</c:f>
              <c:numCache>
                <c:formatCode>General</c:formatCode>
                <c:ptCount val="3"/>
                <c:pt idx="0">
                  <c:v>19284</c:v>
                </c:pt>
                <c:pt idx="1">
                  <c:v>19978</c:v>
                </c:pt>
                <c:pt idx="2">
                  <c:v>20664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B55-8F4A-93CE-C1D7784626AA}"/>
            </c:ext>
          </c:extLst>
        </c:ser>
        <c:ser>
          <c:idx val="2"/>
          <c:order val="1"/>
          <c:tx>
            <c:v>suspended (0.3-2.7 um) MSMS</c:v>
          </c:tx>
          <c:spPr>
            <a:blipFill>
              <a:blip xmlns:r="http://schemas.openxmlformats.org/officeDocument/2006/relationships" r:embed="rId3">
                <a:alphaModFix amt="53000"/>
              </a:blip>
              <a:stretch>
                <a:fillRect/>
              </a:stretch>
            </a:blipFill>
            <a:ln w="0">
              <a:solidFill>
                <a:schemeClr val="tx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3">
                  <a:alphaModFix amt="53000"/>
                </a:blip>
                <a:stretch>
                  <a:fillRect/>
                </a:stretch>
              </a:blipFill>
              <a:ln w="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4D41-A842-A4DA-BD8ECD673C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samples'!$J$2:$J$4</c:f>
              <c:numCache>
                <c:formatCode>General</c:formatCode>
                <c:ptCount val="3"/>
                <c:pt idx="0">
                  <c:v>21252</c:v>
                </c:pt>
                <c:pt idx="1">
                  <c:v>18899</c:v>
                </c:pt>
                <c:pt idx="2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DB55-8F4A-93CE-C1D7784626AA}"/>
            </c:ext>
          </c:extLst>
        </c:ser>
        <c:ser>
          <c:idx val="1"/>
          <c:order val="2"/>
          <c:tx>
            <c:v>sinking MS</c:v>
          </c:tx>
          <c:spPr>
            <a:noFill/>
            <a:ln w="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 w="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41-A842-A4DA-BD8ECD673C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samples'!$I$5:$I$7</c:f>
              <c:numCache>
                <c:formatCode>General</c:formatCode>
                <c:ptCount val="3"/>
                <c:pt idx="0">
                  <c:v>22679</c:v>
                </c:pt>
                <c:pt idx="1">
                  <c:v>16029</c:v>
                </c:pt>
                <c:pt idx="2">
                  <c:v>17216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DB55-8F4A-93CE-C1D7784626AA}"/>
            </c:ext>
          </c:extLst>
        </c:ser>
        <c:ser>
          <c:idx val="3"/>
          <c:order val="3"/>
          <c:tx>
            <c:v>sinking MSMS</c:v>
          </c:tx>
          <c:spPr>
            <a:noFill/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samples'!$J$5:$J$7</c:f>
              <c:numCache>
                <c:formatCode>General</c:formatCode>
                <c:ptCount val="3"/>
                <c:pt idx="0">
                  <c:v>9540</c:v>
                </c:pt>
                <c:pt idx="1">
                  <c:v>36021</c:v>
                </c:pt>
                <c:pt idx="2">
                  <c:v>30735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DB55-8F4A-93CE-C1D778462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database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AD4-274A-BFEB-F4508E20E76C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5">
                <a:lumMod val="40000"/>
                <a:lumOff val="60000"/>
                <a:alpha val="57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1AD4-274A-BFEB-F4508E20E76C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1AD4-274A-BFEB-F4508E20E76C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samples'!$O$5:$O$7</c:f>
              <c:numCache>
                <c:formatCode>General</c:formatCode>
                <c:ptCount val="3"/>
                <c:pt idx="0">
                  <c:v>1282</c:v>
                </c:pt>
                <c:pt idx="1">
                  <c:v>9325</c:v>
                </c:pt>
                <c:pt idx="2">
                  <c:v>7611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1AD4-274A-BFEB-F4508E20E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suspended (0.3-2.7 um) database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samples'!$V$2:$V$4</c:f>
              <c:numCache>
                <c:formatCode>General</c:formatCode>
                <c:ptCount val="3"/>
                <c:pt idx="0">
                  <c:v>0.114906832298136</c:v>
                </c:pt>
                <c:pt idx="1">
                  <c:v>9.4059405940594004E-2</c:v>
                </c:pt>
                <c:pt idx="2">
                  <c:v>7.7568134171907693E-2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D-4846-984E-31F12AF86AF1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3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samples'!$U$2:$U$4</c:f>
              <c:numCache>
                <c:formatCode>General</c:formatCode>
                <c:ptCount val="3"/>
                <c:pt idx="0">
                  <c:v>0.27698574338085502</c:v>
                </c:pt>
                <c:pt idx="1">
                  <c:v>0.29572529782760998</c:v>
                </c:pt>
                <c:pt idx="2">
                  <c:v>0.30727969348659001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5D-4846-984E-31F12AF86AF1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samples'!$V$5:$V$7</c:f>
              <c:numCache>
                <c:formatCode>General</c:formatCode>
                <c:ptCount val="3"/>
                <c:pt idx="0">
                  <c:v>8.7878787878787806E-2</c:v>
                </c:pt>
                <c:pt idx="1">
                  <c:v>0.12838633686690201</c:v>
                </c:pt>
                <c:pt idx="2">
                  <c:v>0.110599078341013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5D-4846-984E-31F12AF86AF1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samples'!$U$5:$U$7</c:f>
              <c:numCache>
                <c:formatCode>General</c:formatCode>
                <c:ptCount val="3"/>
                <c:pt idx="0">
                  <c:v>0.34321372854914101</c:v>
                </c:pt>
                <c:pt idx="1">
                  <c:v>0.57608579088471801</c:v>
                </c:pt>
                <c:pt idx="2">
                  <c:v>0.52069373275522202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5D-4846-984E-31F12AF86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452944"/>
        <c:axId val="674288448"/>
      </c:barChart>
      <c:catAx>
        <c:axId val="679452944"/>
        <c:scaling>
          <c:orientation val="maxMin"/>
        </c:scaling>
        <c:delete val="0"/>
        <c:axPos val="r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auto val="0"/>
        <c:lblAlgn val="ctr"/>
        <c:lblOffset val="100"/>
        <c:noMultiLvlLbl val="1"/>
      </c:catAx>
      <c:valAx>
        <c:axId val="674288448"/>
        <c:scaling>
          <c:orientation val="maxMin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Fracton peptides modified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At val="1"/>
        <c:crossBetween val="between"/>
      </c:valAx>
      <c:spPr>
        <a:noFill/>
        <a:ln w="25400">
          <a:noFill/>
        </a:ln>
        <a:effectLst/>
      </c:spPr>
    </c:plotArea>
    <c:legend>
      <c:legendPos val="l"/>
      <c:layout>
        <c:manualLayout>
          <c:xMode val="edge"/>
          <c:yMode val="edge"/>
          <c:x val="1.6395349099907169E-2"/>
          <c:y val="0.36851165289919857"/>
          <c:w val="0.40520771799224969"/>
          <c:h val="0.40766149221136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53</xdr:row>
      <xdr:rowOff>0</xdr:rowOff>
    </xdr:from>
    <xdr:to>
      <xdr:col>10</xdr:col>
      <xdr:colOff>679450</xdr:colOff>
      <xdr:row>79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27AC7-1971-B643-8A1A-EA2273F5F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0.26324</cdr:x>
      <cdr:y>0.07511</cdr:y>
    </cdr:from>
    <cdr:to>
      <cdr:x>0.53347</cdr:x>
      <cdr:y>0.14778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344035" y="402638"/>
          <a:ext cx="2406311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0.71736</cdr:x>
      <cdr:y>0.07712</cdr:y>
    </cdr:from>
    <cdr:to>
      <cdr:x>0.88422</cdr:x>
      <cdr:y>0.14979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87814" y="413459"/>
          <a:ext cx="1485834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0.19332</cdr:x>
      <cdr:y>0.16076</cdr:y>
    </cdr:from>
    <cdr:to>
      <cdr:x>0.33689</cdr:x>
      <cdr:y>0.21986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727200" y="863607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database ID'd</a:t>
          </a:r>
        </a:p>
      </cdr:txBody>
    </cdr:sp>
  </cdr:relSizeAnchor>
  <cdr:relSizeAnchor xmlns:cdr="http://schemas.openxmlformats.org/drawingml/2006/chartDrawing">
    <cdr:from>
      <cdr:x>0.40511</cdr:x>
      <cdr:y>0.1584</cdr:y>
    </cdr:from>
    <cdr:to>
      <cdr:x>0.54442</cdr:x>
      <cdr:y>0.20331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619457" y="850919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de novo </a:t>
          </a:r>
          <a:r>
            <a:rPr lang="en-US" sz="1100"/>
            <a:t>only</a:t>
          </a:r>
        </a:p>
      </cdr:txBody>
    </cdr:sp>
  </cdr:relSizeAnchor>
  <cdr:relSizeAnchor xmlns:cdr="http://schemas.openxmlformats.org/drawingml/2006/chartDrawing">
    <cdr:from>
      <cdr:x>0.60981</cdr:x>
      <cdr:y>0.15603</cdr:y>
    </cdr:from>
    <cdr:to>
      <cdr:x>0.75338</cdr:x>
      <cdr:y>0.21513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48300" y="838200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database ID'd</a:t>
          </a:r>
        </a:p>
      </cdr:txBody>
    </cdr:sp>
  </cdr:relSizeAnchor>
  <cdr:relSizeAnchor xmlns:cdr="http://schemas.openxmlformats.org/drawingml/2006/chartDrawing">
    <cdr:from>
      <cdr:x>0.81734</cdr:x>
      <cdr:y>0.15603</cdr:y>
    </cdr:from>
    <cdr:to>
      <cdr:x>0.95665</cdr:x>
      <cdr:y>0.20094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302457" y="838212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de novo </a:t>
          </a:r>
          <a:r>
            <a:rPr lang="en-US" sz="1100"/>
            <a:t>only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0.95447</cdr:x>
      <cdr:y>0.3275</cdr:y>
    </cdr:from>
    <cdr:to>
      <cdr:x>0.99215</cdr:x>
      <cdr:y>0.37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7A907FC-9C38-FE48-AA83-1164516EDFE1}"/>
            </a:ext>
          </a:extLst>
        </cdr:cNvPr>
        <cdr:cNvSpPr txBox="1"/>
      </cdr:nvSpPr>
      <cdr:spPr>
        <a:xfrm xmlns:a="http://schemas.openxmlformats.org/drawingml/2006/main">
          <a:off x="8214468" y="1769894"/>
          <a:ext cx="324255" cy="2296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0.26324</cdr:x>
      <cdr:y>0.07511</cdr:y>
    </cdr:from>
    <cdr:to>
      <cdr:x>0.53347</cdr:x>
      <cdr:y>0.14778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344035" y="402638"/>
          <a:ext cx="2406311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i="0">
              <a:solidFill>
                <a:schemeClr val="tx1"/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0.71736</cdr:x>
      <cdr:y>0.07712</cdr:y>
    </cdr:from>
    <cdr:to>
      <cdr:x>0.88422</cdr:x>
      <cdr:y>0.14979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87814" y="413459"/>
          <a:ext cx="1485834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0.17639</cdr:x>
      <cdr:y>0.1658</cdr:y>
    </cdr:from>
    <cdr:to>
      <cdr:x>0.31996</cdr:x>
      <cdr:y>0.2249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689119" y="888382"/>
          <a:ext cx="1374837" cy="316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0.37548</cdr:x>
      <cdr:y>0.16092</cdr:y>
    </cdr:from>
    <cdr:to>
      <cdr:x>0.51479</cdr:x>
      <cdr:y>0.20583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595640" y="862225"/>
          <a:ext cx="1334043" cy="2406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0.60981</cdr:x>
      <cdr:y>0.15603</cdr:y>
    </cdr:from>
    <cdr:to>
      <cdr:x>0.75338</cdr:x>
      <cdr:y>0.21513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48300" y="838200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0.81734</cdr:x>
      <cdr:y>0.15603</cdr:y>
    </cdr:from>
    <cdr:to>
      <cdr:x>0.95665</cdr:x>
      <cdr:y>0.20094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302457" y="838212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0.26324</cdr:x>
      <cdr:y>0.07511</cdr:y>
    </cdr:from>
    <cdr:to>
      <cdr:x>0.53347</cdr:x>
      <cdr:y>0.14778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344035" y="402638"/>
          <a:ext cx="2406311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i="0">
              <a:solidFill>
                <a:schemeClr val="tx1"/>
              </a:solidFill>
            </a:rPr>
            <a:t> suspended </a:t>
          </a:r>
        </a:p>
      </cdr:txBody>
    </cdr:sp>
  </cdr:relSizeAnchor>
  <cdr:relSizeAnchor xmlns:cdr="http://schemas.openxmlformats.org/drawingml/2006/chartDrawing">
    <cdr:from>
      <cdr:x>0.71736</cdr:x>
      <cdr:y>0.07712</cdr:y>
    </cdr:from>
    <cdr:to>
      <cdr:x>0.88422</cdr:x>
      <cdr:y>0.14979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87814" y="413459"/>
          <a:ext cx="1485834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0.16934</cdr:x>
      <cdr:y>0.16076</cdr:y>
    </cdr:from>
    <cdr:to>
      <cdr:x>0.31291</cdr:x>
      <cdr:y>0.21986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621566" y="861360"/>
          <a:ext cx="1374837" cy="316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0.40511</cdr:x>
      <cdr:y>0.1584</cdr:y>
    </cdr:from>
    <cdr:to>
      <cdr:x>0.54442</cdr:x>
      <cdr:y>0.20331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619457" y="850919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0.60981</cdr:x>
      <cdr:y>0.15603</cdr:y>
    </cdr:from>
    <cdr:to>
      <cdr:x>0.75338</cdr:x>
      <cdr:y>0.21513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48300" y="838200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0.81734</cdr:x>
      <cdr:y>0.15603</cdr:y>
    </cdr:from>
    <cdr:to>
      <cdr:x>0.95665</cdr:x>
      <cdr:y>0.20094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302457" y="838212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0.1596</cdr:x>
      <cdr:y>0.08327</cdr:y>
    </cdr:from>
    <cdr:to>
      <cdr:x>0.29481</cdr:x>
      <cdr:y>0.20818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524000" y="465667"/>
          <a:ext cx="1291167" cy="698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/>
            <a:t>trypsin</a:t>
          </a:r>
        </a:p>
        <a:p xmlns:a="http://schemas.openxmlformats.org/drawingml/2006/main">
          <a:pPr algn="ctr"/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0.35909</cdr:x>
      <cdr:y>0.08522</cdr:y>
    </cdr:from>
    <cdr:to>
      <cdr:x>0.51204</cdr:x>
      <cdr:y>0.20061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429000" y="476569"/>
          <a:ext cx="1460499" cy="6452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trypsin</a:t>
          </a:r>
          <a:r>
            <a:rPr lang="en-US" sz="1600" i="0" baseline="0"/>
            <a:t>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0.56967</cdr:x>
      <cdr:y>0.0757</cdr:y>
    </cdr:from>
    <cdr:to>
      <cdr:x>0.7337</cdr:x>
      <cdr:y>0.20439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39834" y="423333"/>
          <a:ext cx="1566334" cy="719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/>
            <a:t>no enzyme database </a:t>
          </a:r>
        </a:p>
      </cdr:txBody>
    </cdr:sp>
  </cdr:relSizeAnchor>
  <cdr:relSizeAnchor xmlns:cdr="http://schemas.openxmlformats.org/drawingml/2006/chartDrawing">
    <cdr:from>
      <cdr:x>0.77804</cdr:x>
      <cdr:y>0.09841</cdr:y>
    </cdr:from>
    <cdr:to>
      <cdr:x>0.95222</cdr:x>
      <cdr:y>0.17411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429500" y="550333"/>
          <a:ext cx="1663270" cy="423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no enzyme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0.1596</cdr:x>
      <cdr:y>0.08327</cdr:y>
    </cdr:from>
    <cdr:to>
      <cdr:x>0.29481</cdr:x>
      <cdr:y>0.20818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524000" y="465667"/>
          <a:ext cx="1291167" cy="698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/>
            <a:t>trypsin</a:t>
          </a:r>
        </a:p>
        <a:p xmlns:a="http://schemas.openxmlformats.org/drawingml/2006/main">
          <a:pPr algn="ctr"/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0.35909</cdr:x>
      <cdr:y>0.08522</cdr:y>
    </cdr:from>
    <cdr:to>
      <cdr:x>0.51204</cdr:x>
      <cdr:y>0.20061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429000" y="476569"/>
          <a:ext cx="1460499" cy="6452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trypsin</a:t>
          </a:r>
          <a:r>
            <a:rPr lang="en-US" sz="1600" i="0" baseline="0"/>
            <a:t>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0.56967</cdr:x>
      <cdr:y>0.0757</cdr:y>
    </cdr:from>
    <cdr:to>
      <cdr:x>0.7337</cdr:x>
      <cdr:y>0.20439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39834" y="423333"/>
          <a:ext cx="1566334" cy="719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/>
            <a:t>no enzyme database </a:t>
          </a:r>
        </a:p>
      </cdr:txBody>
    </cdr:sp>
  </cdr:relSizeAnchor>
  <cdr:relSizeAnchor xmlns:cdr="http://schemas.openxmlformats.org/drawingml/2006/chartDrawing">
    <cdr:from>
      <cdr:x>0.77804</cdr:x>
      <cdr:y>0.09841</cdr:y>
    </cdr:from>
    <cdr:to>
      <cdr:x>0.95222</cdr:x>
      <cdr:y>0.17411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429500" y="550333"/>
          <a:ext cx="1663270" cy="423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no enzyme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42</xdr:row>
      <xdr:rowOff>50800</xdr:rowOff>
    </xdr:from>
    <xdr:to>
      <xdr:col>24</xdr:col>
      <xdr:colOff>762000</xdr:colOff>
      <xdr:row>69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A4F313-4BA8-2A4A-B53E-A945BB051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146050</xdr:colOff>
      <xdr:row>8</xdr:row>
      <xdr:rowOff>63500</xdr:rowOff>
    </xdr:from>
    <xdr:to>
      <xdr:col>12</xdr:col>
      <xdr:colOff>25400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20D9C4-2C2D-0E41-8E49-8BBF36813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25</xdr:row>
      <xdr:rowOff>190500</xdr:rowOff>
    </xdr:from>
    <xdr:to>
      <xdr:col>12</xdr:col>
      <xdr:colOff>38100</xdr:colOff>
      <xdr:row>43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76C79D-4949-4647-A303-9A360DF24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</xdr:colOff>
      <xdr:row>11</xdr:row>
      <xdr:rowOff>0</xdr:rowOff>
    </xdr:from>
    <xdr:to>
      <xdr:col>29</xdr:col>
      <xdr:colOff>584200</xdr:colOff>
      <xdr:row>38</xdr:row>
      <xdr:rowOff>105833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EABE8A-5D14-9E46-8416-139E28AE6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11</xdr:row>
      <xdr:rowOff>0</xdr:rowOff>
    </xdr:from>
    <xdr:to>
      <xdr:col>39</xdr:col>
      <xdr:colOff>584199</xdr:colOff>
      <xdr:row>38</xdr:row>
      <xdr:rowOff>105833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B305BE-C134-384A-8183-48A3A8BBC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0.23232</cdr:x>
      <cdr:y>0.91815</cdr:y>
    </cdr:from>
    <cdr:to>
      <cdr:x>0.40067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D520E76-762B-CB42-A4E7-153DE15BFBDB}"/>
            </a:ext>
          </a:extLst>
        </cdr:cNvPr>
        <cdr:cNvSpPr txBox="1"/>
      </cdr:nvSpPr>
      <cdr:spPr>
        <a:xfrm xmlns:a="http://schemas.openxmlformats.org/drawingml/2006/main">
          <a:off x="131445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100 m</a:t>
          </a:r>
        </a:p>
      </cdr:txBody>
    </cdr:sp>
  </cdr:relSizeAnchor>
  <cdr:relSizeAnchor xmlns:cdr="http://schemas.openxmlformats.org/drawingml/2006/chartDrawing">
    <cdr:from>
      <cdr:x>0.5073</cdr:x>
      <cdr:y>0.91815</cdr:y>
    </cdr:from>
    <cdr:to>
      <cdr:x>0.67565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1364AC8-C85E-AC49-8FF3-7DE811314DE1}"/>
            </a:ext>
          </a:extLst>
        </cdr:cNvPr>
        <cdr:cNvSpPr txBox="1"/>
      </cdr:nvSpPr>
      <cdr:spPr>
        <a:xfrm xmlns:a="http://schemas.openxmlformats.org/drawingml/2006/main">
          <a:off x="28702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265 m</a:t>
          </a:r>
        </a:p>
      </cdr:txBody>
    </cdr:sp>
  </cdr:relSizeAnchor>
  <cdr:relSizeAnchor xmlns:cdr="http://schemas.openxmlformats.org/drawingml/2006/chartDrawing">
    <cdr:from>
      <cdr:x>0.76319</cdr:x>
      <cdr:y>0.91815</cdr:y>
    </cdr:from>
    <cdr:to>
      <cdr:x>0.93154</cdr:x>
      <cdr:y>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E41A1CF-7F11-DD43-B6FE-B0F16B3DBB9E}"/>
            </a:ext>
          </a:extLst>
        </cdr:cNvPr>
        <cdr:cNvSpPr txBox="1"/>
      </cdr:nvSpPr>
      <cdr:spPr>
        <a:xfrm xmlns:a="http://schemas.openxmlformats.org/drawingml/2006/main">
          <a:off x="43180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1000 m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0.23094</cdr:x>
      <cdr:y>0.91815</cdr:y>
    </cdr:from>
    <cdr:to>
      <cdr:x>0.3991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E8B00AD-3D2D-F147-953E-FC61D7CE32D6}"/>
            </a:ext>
          </a:extLst>
        </cdr:cNvPr>
        <cdr:cNvSpPr txBox="1"/>
      </cdr:nvSpPr>
      <cdr:spPr>
        <a:xfrm xmlns:a="http://schemas.openxmlformats.org/drawingml/2006/main">
          <a:off x="13081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100 m</a:t>
          </a:r>
        </a:p>
      </cdr:txBody>
    </cdr:sp>
  </cdr:relSizeAnchor>
  <cdr:relSizeAnchor xmlns:cdr="http://schemas.openxmlformats.org/drawingml/2006/chartDrawing">
    <cdr:from>
      <cdr:x>0.50448</cdr:x>
      <cdr:y>0.91815</cdr:y>
    </cdr:from>
    <cdr:to>
      <cdr:x>0.67265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AF15E21-3FC0-7341-AA49-E304CCE90B10}"/>
            </a:ext>
          </a:extLst>
        </cdr:cNvPr>
        <cdr:cNvSpPr txBox="1"/>
      </cdr:nvSpPr>
      <cdr:spPr>
        <a:xfrm xmlns:a="http://schemas.openxmlformats.org/drawingml/2006/main">
          <a:off x="28575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265 m</a:t>
          </a:r>
        </a:p>
      </cdr:txBody>
    </cdr:sp>
  </cdr:relSizeAnchor>
  <cdr:relSizeAnchor xmlns:cdr="http://schemas.openxmlformats.org/drawingml/2006/chartDrawing">
    <cdr:from>
      <cdr:x>0.78027</cdr:x>
      <cdr:y>0.91815</cdr:y>
    </cdr:from>
    <cdr:to>
      <cdr:x>0.94843</cdr:x>
      <cdr:y>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E425AC2-CEBA-234B-8051-90A361F0E1E6}"/>
            </a:ext>
          </a:extLst>
        </cdr:cNvPr>
        <cdr:cNvSpPr txBox="1"/>
      </cdr:nvSpPr>
      <cdr:spPr>
        <a:xfrm xmlns:a="http://schemas.openxmlformats.org/drawingml/2006/main">
          <a:off x="44196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965 m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0.22118</cdr:x>
      <cdr:y>0.0659</cdr:y>
    </cdr:from>
    <cdr:to>
      <cdr:x>0.49141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1790700" y="354013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0.71532</cdr:x>
      <cdr:y>0.06481</cdr:y>
    </cdr:from>
    <cdr:to>
      <cdr:x>0.88218</cdr:x>
      <cdr:y>0.13748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5791386" y="348179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0.4616</cdr:x>
      <cdr:y>0.06383</cdr:y>
    </cdr:from>
    <cdr:to>
      <cdr:x>0.73184</cdr:x>
      <cdr:y>0.1365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E820024-6105-944B-BC01-08EB9C1A798C}"/>
            </a:ext>
          </a:extLst>
        </cdr:cNvPr>
        <cdr:cNvSpPr txBox="1"/>
      </cdr:nvSpPr>
      <cdr:spPr>
        <a:xfrm xmlns:a="http://schemas.openxmlformats.org/drawingml/2006/main">
          <a:off x="3737269" y="342900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large suspended 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0.18959</cdr:x>
      <cdr:y>0.02422</cdr:y>
    </cdr:from>
    <cdr:to>
      <cdr:x>0.39399</cdr:x>
      <cdr:y>0.21575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362835" y="135464"/>
          <a:ext cx="1469264" cy="1071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/>
            <a:t>% modified trypsin</a:t>
          </a:r>
        </a:p>
        <a:p xmlns:a="http://schemas.openxmlformats.org/drawingml/2006/main">
          <a:pPr algn="ctr"/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0.45273</cdr:x>
      <cdr:y>0.0557</cdr:y>
    </cdr:from>
    <cdr:to>
      <cdr:x>0.65724</cdr:x>
      <cdr:y>0.17109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254310" y="311470"/>
          <a:ext cx="1470089" cy="6452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% modified trypsin</a:t>
          </a:r>
          <a:r>
            <a:rPr lang="en-US" sz="1600" i="0" baseline="0"/>
            <a:t>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0.73398</cdr:x>
      <cdr:y>0.04391</cdr:y>
    </cdr:from>
    <cdr:to>
      <cdr:x>0.91442</cdr:x>
      <cdr:y>0.1726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276001" y="245532"/>
          <a:ext cx="1297009" cy="719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/>
            <a:t>% modified </a:t>
          </a:r>
        </a:p>
        <a:p xmlns:a="http://schemas.openxmlformats.org/drawingml/2006/main">
          <a:pPr algn="ctr"/>
          <a:r>
            <a:rPr lang="en-US" sz="1600"/>
            <a:t>no enzyme</a:t>
          </a:r>
        </a:p>
        <a:p xmlns:a="http://schemas.openxmlformats.org/drawingml/2006/main">
          <a:pPr algn="ctr"/>
          <a:r>
            <a:rPr lang="en-US" sz="1600"/>
            <a:t> </a:t>
          </a:r>
          <a:r>
            <a:rPr lang="en-US" sz="1600" i="1"/>
            <a:t>de novo </a:t>
          </a:r>
          <a:r>
            <a:rPr lang="en-US" sz="1600"/>
            <a:t>only 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0.18959</cdr:x>
      <cdr:y>0.02422</cdr:y>
    </cdr:from>
    <cdr:to>
      <cdr:x>0.39399</cdr:x>
      <cdr:y>0.21575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362835" y="135464"/>
          <a:ext cx="1469264" cy="1071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/>
            <a:t>% modified trypsin</a:t>
          </a:r>
        </a:p>
        <a:p xmlns:a="http://schemas.openxmlformats.org/drawingml/2006/main">
          <a:pPr algn="ctr"/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0.45273</cdr:x>
      <cdr:y>0.0557</cdr:y>
    </cdr:from>
    <cdr:to>
      <cdr:x>0.65724</cdr:x>
      <cdr:y>0.17109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254310" y="311470"/>
          <a:ext cx="1470089" cy="6452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% modified trypsin</a:t>
          </a:r>
          <a:r>
            <a:rPr lang="en-US" sz="1600" i="0" baseline="0"/>
            <a:t>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0.73398</cdr:x>
      <cdr:y>0.04391</cdr:y>
    </cdr:from>
    <cdr:to>
      <cdr:x>0.91442</cdr:x>
      <cdr:y>0.1726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276001" y="245532"/>
          <a:ext cx="1297009" cy="719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/>
            <a:t>% modified </a:t>
          </a:r>
        </a:p>
        <a:p xmlns:a="http://schemas.openxmlformats.org/drawingml/2006/main">
          <a:pPr algn="ctr"/>
          <a:r>
            <a:rPr lang="en-US" sz="1600"/>
            <a:t>no enzyme</a:t>
          </a:r>
        </a:p>
        <a:p xmlns:a="http://schemas.openxmlformats.org/drawingml/2006/main">
          <a:pPr algn="ctr"/>
          <a:r>
            <a:rPr lang="en-US" sz="1600"/>
            <a:t> </a:t>
          </a:r>
          <a:r>
            <a:rPr lang="en-US" sz="1600" i="1"/>
            <a:t>de novo </a:t>
          </a:r>
          <a:r>
            <a:rPr lang="en-US" sz="1600"/>
            <a:t>only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16</xdr:row>
      <xdr:rowOff>0</xdr:rowOff>
    </xdr:from>
    <xdr:to>
      <xdr:col>9</xdr:col>
      <xdr:colOff>6350</xdr:colOff>
      <xdr:row>42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10D0B-37A4-1C4D-8A89-48323A32B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431800</xdr:colOff>
      <xdr:row>19</xdr:row>
      <xdr:rowOff>149412</xdr:rowOff>
    </xdr:from>
    <xdr:to>
      <xdr:col>14</xdr:col>
      <xdr:colOff>672353</xdr:colOff>
      <xdr:row>34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7C23C8-A82D-BA4E-830D-B966BD4DB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812800</xdr:colOff>
      <xdr:row>22</xdr:row>
      <xdr:rowOff>106722</xdr:rowOff>
    </xdr:from>
    <xdr:to>
      <xdr:col>19</xdr:col>
      <xdr:colOff>1568823</xdr:colOff>
      <xdr:row>34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91A228-28FE-BD48-BA7B-F005E23E9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745458</xdr:colOff>
      <xdr:row>45</xdr:row>
      <xdr:rowOff>181428</xdr:rowOff>
    </xdr:from>
    <xdr:to>
      <xdr:col>8</xdr:col>
      <xdr:colOff>330840</xdr:colOff>
      <xdr:row>58</xdr:row>
      <xdr:rowOff>136177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7F46C6-C7BD-634D-8F43-E38E7B572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</xdr:colOff>
      <xdr:row>49</xdr:row>
      <xdr:rowOff>181428</xdr:rowOff>
    </xdr:from>
    <xdr:to>
      <xdr:col>14</xdr:col>
      <xdr:colOff>875127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346709-F989-084A-83D2-1D8EABCDA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37</xdr:row>
      <xdr:rowOff>0</xdr:rowOff>
    </xdr:from>
    <xdr:to>
      <xdr:col>23</xdr:col>
      <xdr:colOff>185209</xdr:colOff>
      <xdr:row>67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D400FA-F6B3-6348-B47E-67957E014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9</xdr:row>
      <xdr:rowOff>0</xdr:rowOff>
    </xdr:from>
    <xdr:to>
      <xdr:col>32</xdr:col>
      <xdr:colOff>793750</xdr:colOff>
      <xdr:row>35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E87F7B-EB1E-5E41-9669-C794D5986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824148</xdr:colOff>
      <xdr:row>38</xdr:row>
      <xdr:rowOff>202658</xdr:rowOff>
    </xdr:from>
    <xdr:to>
      <xdr:col>36</xdr:col>
      <xdr:colOff>851169</xdr:colOff>
      <xdr:row>66</xdr:row>
      <xdr:rowOff>94573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32F586-F9BD-F04C-8783-5711AE6BD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9</xdr:row>
      <xdr:rowOff>0</xdr:rowOff>
    </xdr:from>
    <xdr:to>
      <xdr:col>45</xdr:col>
      <xdr:colOff>659053</xdr:colOff>
      <xdr:row>35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68BADF4-0105-CF43-908D-0CFAC0D27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856287</xdr:colOff>
      <xdr:row>8</xdr:row>
      <xdr:rowOff>152098</xdr:rowOff>
    </xdr:from>
    <xdr:to>
      <xdr:col>56</xdr:col>
      <xdr:colOff>623638</xdr:colOff>
      <xdr:row>35</xdr:row>
      <xdr:rowOff>29332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0E5CC6A-50AF-E441-B2DC-976EA4722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571500</xdr:colOff>
      <xdr:row>41</xdr:row>
      <xdr:rowOff>42334</xdr:rowOff>
    </xdr:from>
    <xdr:to>
      <xdr:col>49</xdr:col>
      <xdr:colOff>341553</xdr:colOff>
      <xdr:row>67</xdr:row>
      <xdr:rowOff>131233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6D432A3-77BF-054D-A27D-47C873194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465667</xdr:colOff>
      <xdr:row>40</xdr:row>
      <xdr:rowOff>190499</xdr:rowOff>
    </xdr:from>
    <xdr:to>
      <xdr:col>61</xdr:col>
      <xdr:colOff>235720</xdr:colOff>
      <xdr:row>67</xdr:row>
      <xdr:rowOff>67732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E196C20-D36A-FB44-B277-77B807F91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0.24909</cdr:x>
      <cdr:y>0.10971</cdr:y>
    </cdr:from>
    <cdr:to>
      <cdr:x>0.51932</cdr:x>
      <cdr:y>0.18238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219266" y="587839"/>
          <a:ext cx="2407566" cy="3893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i="1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0.51173</cdr:x>
      <cdr:y>0.10846</cdr:y>
    </cdr:from>
    <cdr:to>
      <cdr:x>0.67859</cdr:x>
      <cdr:y>0.18113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4576524" y="606538"/>
          <a:ext cx="1492279" cy="406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i="1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0.76089</cdr:x>
      <cdr:y>0.10543</cdr:y>
    </cdr:from>
    <cdr:to>
      <cdr:x>0.92775</cdr:x>
      <cdr:y>0.1781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F4CDF38B-4929-A142-88C0-D2442F15C151}"/>
            </a:ext>
          </a:extLst>
        </cdr:cNvPr>
        <cdr:cNvSpPr txBox="1"/>
      </cdr:nvSpPr>
      <cdr:spPr>
        <a:xfrm xmlns:a="http://schemas.openxmlformats.org/drawingml/2006/main">
          <a:off x="6804891" y="589588"/>
          <a:ext cx="1492279" cy="406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800" b="1" i="1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0.69198</cdr:x>
      <cdr:y>0.10887</cdr:y>
    </cdr:from>
    <cdr:to>
      <cdr:x>0.8981</cdr:x>
      <cdr:y>0.20301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8BCF5AD2-0070-504F-9D42-F45474740F35}"/>
            </a:ext>
          </a:extLst>
        </cdr:cNvPr>
        <cdr:cNvSpPr txBox="1"/>
      </cdr:nvSpPr>
      <cdr:spPr>
        <a:xfrm xmlns:a="http://schemas.openxmlformats.org/drawingml/2006/main">
          <a:off x="6165047" y="583333"/>
          <a:ext cx="1836420" cy="5044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i="1">
              <a:solidFill>
                <a:schemeClr val="tx1"/>
              </a:solidFill>
            </a:rPr>
            <a:t>O</a:t>
          </a:r>
          <a:r>
            <a:rPr lang="en-US" sz="1800" b="1" i="1" baseline="-25000">
              <a:solidFill>
                <a:schemeClr val="tx1"/>
              </a:solidFill>
            </a:rPr>
            <a:t>2</a:t>
          </a:r>
          <a:r>
            <a:rPr lang="en-US" sz="1800" b="1" i="1">
              <a:solidFill>
                <a:schemeClr val="tx1"/>
              </a:solidFill>
            </a:rPr>
            <a:t> mmol</a:t>
          </a:r>
          <a:r>
            <a:rPr lang="en-US" sz="1800" b="1" i="1" baseline="0">
              <a:solidFill>
                <a:schemeClr val="tx1"/>
              </a:solidFill>
            </a:rPr>
            <a:t> kg</a:t>
          </a:r>
          <a:r>
            <a:rPr lang="en-US" sz="1800" b="1" i="1" baseline="30000">
              <a:solidFill>
                <a:schemeClr val="tx1"/>
              </a:solidFill>
            </a:rPr>
            <a:t>-1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0.25279</cdr:x>
      <cdr:y>0.10217</cdr:y>
    </cdr:from>
    <cdr:to>
      <cdr:x>0.52302</cdr:x>
      <cdr:y>0.17484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439831" y="621497"/>
          <a:ext cx="2608127" cy="4420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0.70761</cdr:x>
      <cdr:y>0.10137</cdr:y>
    </cdr:from>
    <cdr:to>
      <cdr:x>0.87447</cdr:x>
      <cdr:y>0.17404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829533" y="616657"/>
          <a:ext cx="1610451" cy="4420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0.22459</cdr:x>
      <cdr:y>0.16785</cdr:y>
    </cdr:from>
    <cdr:to>
      <cdr:x>0.2715</cdr:x>
      <cdr:y>0.21986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2006600" y="901700"/>
          <a:ext cx="4191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MS</a:t>
          </a:r>
        </a:p>
      </cdr:txBody>
    </cdr:sp>
  </cdr:relSizeAnchor>
  <cdr:relSizeAnchor xmlns:cdr="http://schemas.openxmlformats.org/drawingml/2006/chartDrawing">
    <cdr:from>
      <cdr:x>0.64392</cdr:x>
      <cdr:y>0.16548</cdr:y>
    </cdr:from>
    <cdr:to>
      <cdr:x>0.69083</cdr:x>
      <cdr:y>0.21749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D9BB4647-FE3E-6442-ABF5-4DD48AF025F3}"/>
            </a:ext>
          </a:extLst>
        </cdr:cNvPr>
        <cdr:cNvSpPr txBox="1"/>
      </cdr:nvSpPr>
      <cdr:spPr>
        <a:xfrm xmlns:a="http://schemas.openxmlformats.org/drawingml/2006/main">
          <a:off x="5753100" y="889000"/>
          <a:ext cx="4191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MS</a:t>
          </a:r>
        </a:p>
      </cdr:txBody>
    </cdr:sp>
  </cdr:relSizeAnchor>
  <cdr:relSizeAnchor xmlns:cdr="http://schemas.openxmlformats.org/drawingml/2006/chartDrawing">
    <cdr:from>
      <cdr:x>0.42217</cdr:x>
      <cdr:y>0.16076</cdr:y>
    </cdr:from>
    <cdr:to>
      <cdr:x>0.50462</cdr:x>
      <cdr:y>0.20567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771900" y="863600"/>
          <a:ext cx="7366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MSMS</a:t>
          </a:r>
        </a:p>
      </cdr:txBody>
    </cdr:sp>
  </cdr:relSizeAnchor>
  <cdr:relSizeAnchor xmlns:cdr="http://schemas.openxmlformats.org/drawingml/2006/chartDrawing">
    <cdr:from>
      <cdr:x>0.83866</cdr:x>
      <cdr:y>0.16312</cdr:y>
    </cdr:from>
    <cdr:to>
      <cdr:x>0.92111</cdr:x>
      <cdr:y>0.20804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94B294DA-C089-C146-BAA1-42F1B98AAC49}"/>
            </a:ext>
          </a:extLst>
        </cdr:cNvPr>
        <cdr:cNvSpPr txBox="1"/>
      </cdr:nvSpPr>
      <cdr:spPr>
        <a:xfrm xmlns:a="http://schemas.openxmlformats.org/drawingml/2006/main">
          <a:off x="7493000" y="876300"/>
          <a:ext cx="7366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MSMS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tnp2017-p2-susvsi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100-965 comparison"/>
      <sheetName val="PTMs"/>
      <sheetName val="cyano peps"/>
    </sheetNames>
    <sheetDataSet>
      <sheetData sheetId="0"/>
      <sheetData sheetId="1">
        <row r="3">
          <cell r="B3">
            <v>50</v>
          </cell>
          <cell r="D3">
            <v>1</v>
          </cell>
          <cell r="E3">
            <v>1285</v>
          </cell>
        </row>
        <row r="4">
          <cell r="B4">
            <v>100</v>
          </cell>
          <cell r="D4">
            <v>1</v>
          </cell>
          <cell r="E4">
            <v>1406</v>
          </cell>
        </row>
        <row r="5">
          <cell r="B5">
            <v>115</v>
          </cell>
          <cell r="D5">
            <v>1</v>
          </cell>
          <cell r="E5">
            <v>1216</v>
          </cell>
        </row>
        <row r="6">
          <cell r="B6">
            <v>130</v>
          </cell>
          <cell r="D6">
            <v>1</v>
          </cell>
          <cell r="E6">
            <v>1335</v>
          </cell>
        </row>
        <row r="7">
          <cell r="B7">
            <v>190</v>
          </cell>
          <cell r="D7">
            <v>1</v>
          </cell>
          <cell r="E7">
            <v>703</v>
          </cell>
        </row>
        <row r="8">
          <cell r="B8">
            <v>265</v>
          </cell>
          <cell r="D8">
            <v>1</v>
          </cell>
          <cell r="E8">
            <v>1170</v>
          </cell>
        </row>
        <row r="9">
          <cell r="B9">
            <v>300</v>
          </cell>
          <cell r="D9">
            <v>1</v>
          </cell>
          <cell r="E9">
            <v>824</v>
          </cell>
        </row>
        <row r="10">
          <cell r="B10">
            <v>400</v>
          </cell>
          <cell r="D10">
            <v>1</v>
          </cell>
          <cell r="E10">
            <v>432</v>
          </cell>
        </row>
        <row r="11">
          <cell r="B11">
            <v>500</v>
          </cell>
          <cell r="D11">
            <v>1</v>
          </cell>
          <cell r="E11">
            <v>340</v>
          </cell>
        </row>
        <row r="12">
          <cell r="B12">
            <v>965</v>
          </cell>
          <cell r="D12">
            <v>1</v>
          </cell>
          <cell r="E12">
            <v>24</v>
          </cell>
        </row>
        <row r="13">
          <cell r="B13">
            <v>1200</v>
          </cell>
          <cell r="D13">
            <v>1</v>
          </cell>
          <cell r="E13">
            <v>37</v>
          </cell>
        </row>
        <row r="17">
          <cell r="B17">
            <v>50</v>
          </cell>
          <cell r="D17">
            <v>1.5</v>
          </cell>
          <cell r="E17">
            <v>438</v>
          </cell>
        </row>
        <row r="18">
          <cell r="B18">
            <v>100</v>
          </cell>
          <cell r="D18">
            <v>1.5</v>
          </cell>
          <cell r="E18">
            <v>327</v>
          </cell>
        </row>
        <row r="19">
          <cell r="B19">
            <v>130</v>
          </cell>
          <cell r="D19">
            <v>1.5</v>
          </cell>
          <cell r="E19">
            <v>213</v>
          </cell>
        </row>
        <row r="20">
          <cell r="B20">
            <v>265</v>
          </cell>
          <cell r="D20">
            <v>1.5</v>
          </cell>
          <cell r="E20">
            <v>187</v>
          </cell>
        </row>
        <row r="21">
          <cell r="B21">
            <v>300</v>
          </cell>
          <cell r="D21">
            <v>1.5</v>
          </cell>
          <cell r="E21">
            <v>251</v>
          </cell>
        </row>
        <row r="22">
          <cell r="B22">
            <v>1200</v>
          </cell>
          <cell r="D22">
            <v>1.5</v>
          </cell>
          <cell r="E22">
            <v>111</v>
          </cell>
        </row>
        <row r="27">
          <cell r="B27">
            <v>94</v>
          </cell>
          <cell r="D27">
            <v>2</v>
          </cell>
          <cell r="E27">
            <v>317</v>
          </cell>
        </row>
        <row r="28">
          <cell r="B28">
            <v>265</v>
          </cell>
          <cell r="D28">
            <v>2</v>
          </cell>
          <cell r="E28">
            <v>453</v>
          </cell>
        </row>
        <row r="29">
          <cell r="B29">
            <v>965</v>
          </cell>
          <cell r="D29">
            <v>2</v>
          </cell>
          <cell r="E29">
            <v>391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0EAB5-9F14-B04B-8801-36598C919285}">
  <dimension ref="A1:Z38"/>
  <sheetViews>
    <sheetView workbookViewId="0">
      <pane ySplit="1" topLeftCell="A2" activePane="bottomLeft" state="frozen"/>
      <selection pane="bottomLeft" activeCell="P29" sqref="P29"/>
    </sheetView>
  </sheetViews>
  <sheetFormatPr baseColWidth="10" defaultRowHeight="16" x14ac:dyDescent="0.2"/>
  <cols>
    <col min="2" max="2" width="25.6640625" customWidth="1"/>
    <col min="3" max="3" width="15.5" customWidth="1"/>
  </cols>
  <sheetData>
    <row r="1" spans="1:26" ht="85" x14ac:dyDescent="0.2">
      <c r="A1" s="47" t="s">
        <v>0</v>
      </c>
      <c r="B1" s="47" t="s">
        <v>1</v>
      </c>
      <c r="C1" s="47" t="s">
        <v>55</v>
      </c>
      <c r="D1" s="47" t="s">
        <v>39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63</v>
      </c>
      <c r="K1" s="47" t="s">
        <v>62</v>
      </c>
      <c r="L1" s="47" t="s">
        <v>68</v>
      </c>
      <c r="M1" s="47" t="s">
        <v>70</v>
      </c>
      <c r="N1" s="47" t="s">
        <v>65</v>
      </c>
      <c r="O1" s="47" t="s">
        <v>282</v>
      </c>
      <c r="P1" s="47" t="s">
        <v>285</v>
      </c>
      <c r="Q1" s="47" t="s">
        <v>66</v>
      </c>
      <c r="R1" s="47" t="s">
        <v>71</v>
      </c>
      <c r="S1" s="47" t="s">
        <v>73</v>
      </c>
      <c r="T1" s="47" t="s">
        <v>72</v>
      </c>
      <c r="U1" s="47" t="s">
        <v>74</v>
      </c>
      <c r="V1" s="47" t="s">
        <v>283</v>
      </c>
      <c r="W1" s="47" t="s">
        <v>284</v>
      </c>
      <c r="X1" s="47" t="s">
        <v>53</v>
      </c>
      <c r="Y1" s="47" t="s">
        <v>67</v>
      </c>
      <c r="Z1" s="47" t="s">
        <v>69</v>
      </c>
    </row>
    <row r="2" spans="1:26" s="42" customFormat="1" x14ac:dyDescent="0.2">
      <c r="A2" s="43">
        <v>230</v>
      </c>
      <c r="B2" s="43" t="s">
        <v>8</v>
      </c>
      <c r="C2" s="43" t="s">
        <v>64</v>
      </c>
      <c r="D2" s="44" t="s">
        <v>41</v>
      </c>
      <c r="E2" s="43">
        <v>50</v>
      </c>
      <c r="F2" s="43">
        <v>538</v>
      </c>
      <c r="G2" s="43">
        <v>0.3</v>
      </c>
      <c r="H2" s="43">
        <v>16230</v>
      </c>
      <c r="I2" s="43">
        <v>34535</v>
      </c>
      <c r="J2" s="43">
        <v>2952</v>
      </c>
      <c r="K2" s="43">
        <v>1285</v>
      </c>
      <c r="L2" s="43"/>
      <c r="M2" s="43"/>
      <c r="N2" s="43">
        <v>9495</v>
      </c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s="42" customFormat="1" x14ac:dyDescent="0.2">
      <c r="A3" s="43">
        <v>231</v>
      </c>
      <c r="B3" s="43" t="s">
        <v>9</v>
      </c>
      <c r="C3" s="43" t="s">
        <v>64</v>
      </c>
      <c r="D3" s="44" t="s">
        <v>41</v>
      </c>
      <c r="E3" s="43">
        <v>100</v>
      </c>
      <c r="F3" s="43">
        <v>743</v>
      </c>
      <c r="G3" s="43">
        <v>0.3</v>
      </c>
      <c r="H3" s="43">
        <v>19284</v>
      </c>
      <c r="I3" s="43">
        <v>21252</v>
      </c>
      <c r="J3" s="43">
        <v>2462</v>
      </c>
      <c r="K3" s="43">
        <v>1467</v>
      </c>
      <c r="L3" s="43">
        <v>1932</v>
      </c>
      <c r="M3" s="43">
        <v>1630</v>
      </c>
      <c r="N3" s="43">
        <v>3437</v>
      </c>
      <c r="O3" s="43">
        <v>3782</v>
      </c>
      <c r="P3" s="43"/>
      <c r="Q3" s="43">
        <v>3218</v>
      </c>
      <c r="R3" s="43">
        <v>104</v>
      </c>
      <c r="S3" s="43">
        <v>18</v>
      </c>
      <c r="T3" s="43">
        <v>7</v>
      </c>
      <c r="U3" s="43">
        <v>0</v>
      </c>
      <c r="V3" s="43">
        <v>0.27698574338085502</v>
      </c>
      <c r="W3" s="43">
        <v>0.186409307244844</v>
      </c>
      <c r="X3" s="43">
        <v>0.114906832298136</v>
      </c>
      <c r="Y3" s="43">
        <v>1392</v>
      </c>
      <c r="Z3" s="43">
        <v>823</v>
      </c>
    </row>
    <row r="4" spans="1:26" s="42" customFormat="1" x14ac:dyDescent="0.2">
      <c r="A4" s="43">
        <v>232</v>
      </c>
      <c r="B4" s="43" t="s">
        <v>10</v>
      </c>
      <c r="C4" s="43" t="s">
        <v>64</v>
      </c>
      <c r="D4" s="44" t="s">
        <v>41</v>
      </c>
      <c r="E4" s="43">
        <v>130</v>
      </c>
      <c r="F4" s="43">
        <v>540</v>
      </c>
      <c r="G4" s="43">
        <v>0.3</v>
      </c>
      <c r="H4" s="43">
        <v>20133</v>
      </c>
      <c r="I4" s="43">
        <v>18113</v>
      </c>
      <c r="J4" s="43">
        <v>1657</v>
      </c>
      <c r="K4" s="43">
        <v>1335</v>
      </c>
      <c r="L4" s="43"/>
      <c r="M4" s="43"/>
      <c r="N4" s="43">
        <v>2653</v>
      </c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s="42" customFormat="1" x14ac:dyDescent="0.2">
      <c r="A5" s="43">
        <v>233</v>
      </c>
      <c r="B5" s="43" t="s">
        <v>11</v>
      </c>
      <c r="C5" s="43" t="s">
        <v>64</v>
      </c>
      <c r="D5" s="44" t="s">
        <v>41</v>
      </c>
      <c r="E5" s="43">
        <v>265</v>
      </c>
      <c r="F5" s="43">
        <v>666</v>
      </c>
      <c r="G5" s="43">
        <v>0.3</v>
      </c>
      <c r="H5" s="43">
        <v>19978</v>
      </c>
      <c r="I5" s="43">
        <v>18899</v>
      </c>
      <c r="J5" s="43">
        <v>1862</v>
      </c>
      <c r="K5" s="43">
        <v>1243</v>
      </c>
      <c r="L5" s="43">
        <v>1616</v>
      </c>
      <c r="M5" s="43">
        <v>1409</v>
      </c>
      <c r="N5" s="43">
        <v>2854</v>
      </c>
      <c r="O5" s="43">
        <v>3229</v>
      </c>
      <c r="P5" s="43"/>
      <c r="Q5" s="43">
        <v>2658</v>
      </c>
      <c r="R5" s="43">
        <v>1</v>
      </c>
      <c r="S5" s="43">
        <v>28</v>
      </c>
      <c r="T5" s="43">
        <v>2</v>
      </c>
      <c r="U5" s="43">
        <v>1</v>
      </c>
      <c r="V5" s="43">
        <v>0.29572529782760998</v>
      </c>
      <c r="W5" s="43">
        <v>0.18612573552183301</v>
      </c>
      <c r="X5" s="43">
        <v>9.4059405940594004E-2</v>
      </c>
      <c r="Y5" s="43">
        <v>1129</v>
      </c>
      <c r="Z5" s="43">
        <v>757</v>
      </c>
    </row>
    <row r="6" spans="1:26" s="42" customFormat="1" x14ac:dyDescent="0.2">
      <c r="A6" s="43">
        <v>234</v>
      </c>
      <c r="B6" s="43" t="s">
        <v>12</v>
      </c>
      <c r="C6" s="43" t="s">
        <v>64</v>
      </c>
      <c r="D6" s="44" t="s">
        <v>41</v>
      </c>
      <c r="E6" s="43">
        <v>300</v>
      </c>
      <c r="F6" s="43">
        <v>655</v>
      </c>
      <c r="G6" s="43">
        <v>0.3</v>
      </c>
      <c r="H6" s="43">
        <v>21267</v>
      </c>
      <c r="I6" s="43">
        <v>14042</v>
      </c>
      <c r="J6" s="43">
        <v>981</v>
      </c>
      <c r="K6" s="43">
        <v>824</v>
      </c>
      <c r="L6" s="43"/>
      <c r="M6" s="43"/>
      <c r="N6" s="43">
        <v>1865</v>
      </c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s="42" customFormat="1" x14ac:dyDescent="0.2">
      <c r="A7" s="43">
        <v>235</v>
      </c>
      <c r="B7" s="43" t="s">
        <v>13</v>
      </c>
      <c r="C7" s="43" t="s">
        <v>64</v>
      </c>
      <c r="D7" s="44" t="s">
        <v>41</v>
      </c>
      <c r="E7" s="43">
        <v>1200</v>
      </c>
      <c r="F7" s="43">
        <v>730</v>
      </c>
      <c r="G7" s="43">
        <v>0.3</v>
      </c>
      <c r="H7" s="43">
        <v>24645</v>
      </c>
      <c r="I7" s="43">
        <v>5300</v>
      </c>
      <c r="J7" s="43">
        <v>146</v>
      </c>
      <c r="K7" s="43">
        <v>37</v>
      </c>
      <c r="L7" s="43"/>
      <c r="M7" s="43"/>
      <c r="N7" s="43">
        <v>422</v>
      </c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s="42" customFormat="1" x14ac:dyDescent="0.2">
      <c r="A8" s="43">
        <v>238</v>
      </c>
      <c r="B8" s="43" t="s">
        <v>14</v>
      </c>
      <c r="C8" s="43" t="s">
        <v>75</v>
      </c>
      <c r="D8" s="44" t="s">
        <v>41</v>
      </c>
      <c r="E8" s="43">
        <v>80</v>
      </c>
      <c r="F8" s="43"/>
      <c r="G8" s="43">
        <v>0.3</v>
      </c>
      <c r="H8" s="43">
        <v>20347</v>
      </c>
      <c r="I8" s="43">
        <v>17310</v>
      </c>
      <c r="J8" s="43">
        <v>241</v>
      </c>
      <c r="K8" s="43">
        <v>272</v>
      </c>
      <c r="L8" s="43"/>
      <c r="M8" s="43"/>
      <c r="N8" s="43">
        <v>2313</v>
      </c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s="42" customFormat="1" x14ac:dyDescent="0.2">
      <c r="A9" s="43">
        <v>239</v>
      </c>
      <c r="B9" s="43" t="s">
        <v>15</v>
      </c>
      <c r="C9" s="43" t="s">
        <v>75</v>
      </c>
      <c r="D9" s="44" t="s">
        <v>41</v>
      </c>
      <c r="E9" s="43">
        <v>115</v>
      </c>
      <c r="F9" s="43"/>
      <c r="G9" s="43">
        <v>0.3</v>
      </c>
      <c r="H9" s="43">
        <v>15930</v>
      </c>
      <c r="I9" s="43">
        <v>34506</v>
      </c>
      <c r="J9" s="43">
        <v>1538</v>
      </c>
      <c r="K9" s="43">
        <v>1216</v>
      </c>
      <c r="L9" s="43"/>
      <c r="M9" s="43"/>
      <c r="N9" s="43">
        <v>7561</v>
      </c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s="42" customFormat="1" x14ac:dyDescent="0.2">
      <c r="A10" s="43">
        <v>240</v>
      </c>
      <c r="B10" s="43" t="s">
        <v>16</v>
      </c>
      <c r="C10" s="43" t="s">
        <v>75</v>
      </c>
      <c r="D10" s="44" t="s">
        <v>41</v>
      </c>
      <c r="E10" s="43">
        <v>190</v>
      </c>
      <c r="F10" s="43"/>
      <c r="G10" s="43">
        <v>0.3</v>
      </c>
      <c r="H10" s="43">
        <v>16174</v>
      </c>
      <c r="I10" s="43">
        <v>33351</v>
      </c>
      <c r="J10" s="43">
        <v>827</v>
      </c>
      <c r="K10" s="43">
        <v>703</v>
      </c>
      <c r="L10" s="43"/>
      <c r="M10" s="43"/>
      <c r="N10" s="43">
        <v>5766</v>
      </c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s="42" customFormat="1" x14ac:dyDescent="0.2">
      <c r="A11" s="43">
        <v>241</v>
      </c>
      <c r="B11" s="43" t="s">
        <v>17</v>
      </c>
      <c r="C11" s="43" t="s">
        <v>75</v>
      </c>
      <c r="D11" s="44" t="s">
        <v>41</v>
      </c>
      <c r="E11" s="43">
        <v>400</v>
      </c>
      <c r="F11" s="43"/>
      <c r="G11" s="43">
        <v>0.3</v>
      </c>
      <c r="H11" s="43">
        <v>17520</v>
      </c>
      <c r="I11" s="43">
        <v>28443</v>
      </c>
      <c r="J11" s="43">
        <v>390</v>
      </c>
      <c r="K11" s="43">
        <v>432</v>
      </c>
      <c r="L11" s="43"/>
      <c r="M11" s="43"/>
      <c r="N11" s="43">
        <v>3867</v>
      </c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s="42" customFormat="1" x14ac:dyDescent="0.2">
      <c r="A12" s="43">
        <v>242</v>
      </c>
      <c r="B12" s="43" t="s">
        <v>18</v>
      </c>
      <c r="C12" s="43" t="s">
        <v>75</v>
      </c>
      <c r="D12" s="44" t="s">
        <v>41</v>
      </c>
      <c r="E12" s="43">
        <v>500</v>
      </c>
      <c r="F12" s="43"/>
      <c r="G12" s="43">
        <v>0.3</v>
      </c>
      <c r="H12" s="43">
        <v>17252</v>
      </c>
      <c r="I12" s="43">
        <v>29256</v>
      </c>
      <c r="J12" s="43">
        <v>390</v>
      </c>
      <c r="K12" s="43">
        <v>340</v>
      </c>
      <c r="L12" s="43"/>
      <c r="M12" s="43"/>
      <c r="N12" s="43">
        <v>4263</v>
      </c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s="42" customFormat="1" x14ac:dyDescent="0.2">
      <c r="A13" s="43">
        <v>243</v>
      </c>
      <c r="B13" s="43" t="s">
        <v>19</v>
      </c>
      <c r="C13" s="43" t="s">
        <v>75</v>
      </c>
      <c r="D13" s="44" t="s">
        <v>41</v>
      </c>
      <c r="E13" s="43">
        <v>965</v>
      </c>
      <c r="F13" s="43"/>
      <c r="G13" s="43">
        <v>0.3</v>
      </c>
      <c r="H13" s="43">
        <v>20664</v>
      </c>
      <c r="I13" s="43">
        <v>15893</v>
      </c>
      <c r="J13" s="43">
        <v>505</v>
      </c>
      <c r="K13" s="43">
        <v>319</v>
      </c>
      <c r="L13" s="43">
        <v>477</v>
      </c>
      <c r="M13" s="43">
        <v>405</v>
      </c>
      <c r="N13" s="43">
        <v>1305</v>
      </c>
      <c r="O13" s="43">
        <v>1814</v>
      </c>
      <c r="P13" s="43"/>
      <c r="Q13" s="43">
        <v>1189</v>
      </c>
      <c r="R13" s="43">
        <v>1</v>
      </c>
      <c r="S13" s="43">
        <v>7</v>
      </c>
      <c r="T13" s="43">
        <v>0</v>
      </c>
      <c r="U13" s="43">
        <v>0</v>
      </c>
      <c r="V13" s="43">
        <v>0.30727969348659001</v>
      </c>
      <c r="W13" s="43">
        <v>0.18136714443219401</v>
      </c>
      <c r="X13" s="43">
        <v>7.7568134171907693E-2</v>
      </c>
      <c r="Y13" s="43">
        <v>555</v>
      </c>
      <c r="Z13" s="43">
        <v>225</v>
      </c>
    </row>
    <row r="14" spans="1:26" s="42" customFormat="1" x14ac:dyDescent="0.2">
      <c r="A14" s="43">
        <v>246</v>
      </c>
      <c r="B14" s="43" t="s">
        <v>20</v>
      </c>
      <c r="C14" s="43"/>
      <c r="D14" s="44" t="s">
        <v>41</v>
      </c>
      <c r="E14" s="43">
        <v>50</v>
      </c>
      <c r="F14" s="43"/>
      <c r="G14" s="43">
        <v>2.7</v>
      </c>
      <c r="H14" s="43">
        <v>15645</v>
      </c>
      <c r="I14" s="43">
        <v>35948</v>
      </c>
      <c r="J14" s="43">
        <v>1369</v>
      </c>
      <c r="K14" s="43">
        <v>438</v>
      </c>
      <c r="L14" s="43"/>
      <c r="M14" s="43"/>
      <c r="N14" s="43">
        <v>6797</v>
      </c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s="42" customFormat="1" x14ac:dyDescent="0.2">
      <c r="A15" s="43">
        <v>247</v>
      </c>
      <c r="B15" s="43" t="s">
        <v>21</v>
      </c>
      <c r="C15" s="43"/>
      <c r="D15" s="44" t="s">
        <v>41</v>
      </c>
      <c r="E15" s="43">
        <v>100</v>
      </c>
      <c r="F15" s="43"/>
      <c r="G15" s="43">
        <v>2.7</v>
      </c>
      <c r="H15" s="43">
        <v>20301</v>
      </c>
      <c r="I15" s="43">
        <v>16693</v>
      </c>
      <c r="J15" s="43">
        <v>762</v>
      </c>
      <c r="K15" s="43">
        <v>327</v>
      </c>
      <c r="L15" s="43"/>
      <c r="M15" s="43"/>
      <c r="N15" s="43">
        <v>1800</v>
      </c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s="42" customFormat="1" x14ac:dyDescent="0.2">
      <c r="A16" s="43">
        <v>248</v>
      </c>
      <c r="B16" s="43" t="s">
        <v>22</v>
      </c>
      <c r="C16" s="43"/>
      <c r="D16" s="44" t="s">
        <v>41</v>
      </c>
      <c r="E16" s="43">
        <v>130</v>
      </c>
      <c r="F16" s="43"/>
      <c r="G16" s="43">
        <v>2.7</v>
      </c>
      <c r="H16" s="43">
        <v>21541</v>
      </c>
      <c r="I16" s="43">
        <v>12626</v>
      </c>
      <c r="J16" s="43">
        <v>367</v>
      </c>
      <c r="K16" s="43">
        <v>213</v>
      </c>
      <c r="L16" s="43"/>
      <c r="M16" s="43"/>
      <c r="N16" s="43">
        <v>1549</v>
      </c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s="42" customFormat="1" x14ac:dyDescent="0.2">
      <c r="A17" s="43">
        <v>249</v>
      </c>
      <c r="B17" s="43" t="s">
        <v>23</v>
      </c>
      <c r="C17" s="43"/>
      <c r="D17" s="44" t="s">
        <v>41</v>
      </c>
      <c r="E17" s="43">
        <v>265</v>
      </c>
      <c r="F17" s="43"/>
      <c r="G17" s="43">
        <v>2.7</v>
      </c>
      <c r="H17" s="43">
        <v>22925</v>
      </c>
      <c r="I17" s="43">
        <v>9130</v>
      </c>
      <c r="J17" s="43">
        <v>291</v>
      </c>
      <c r="K17" s="43">
        <v>187</v>
      </c>
      <c r="L17" s="43"/>
      <c r="M17" s="43"/>
      <c r="N17" s="43">
        <v>846</v>
      </c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s="42" customFormat="1" x14ac:dyDescent="0.2">
      <c r="A18" s="43">
        <v>250</v>
      </c>
      <c r="B18" s="43" t="s">
        <v>24</v>
      </c>
      <c r="C18" s="43"/>
      <c r="D18" s="44" t="s">
        <v>41</v>
      </c>
      <c r="E18" s="43">
        <v>300</v>
      </c>
      <c r="F18" s="43"/>
      <c r="G18" s="43">
        <v>2.7</v>
      </c>
      <c r="H18" s="43">
        <v>22739</v>
      </c>
      <c r="I18" s="43">
        <v>9624</v>
      </c>
      <c r="J18" s="43">
        <v>310</v>
      </c>
      <c r="K18" s="43">
        <v>251</v>
      </c>
      <c r="L18" s="43"/>
      <c r="M18" s="43"/>
      <c r="N18" s="43">
        <v>639</v>
      </c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s="42" customFormat="1" x14ac:dyDescent="0.2">
      <c r="A19" s="43">
        <v>251</v>
      </c>
      <c r="B19" s="43" t="s">
        <v>25</v>
      </c>
      <c r="C19" s="43"/>
      <c r="D19" s="44" t="s">
        <v>41</v>
      </c>
      <c r="E19" s="43">
        <v>1200</v>
      </c>
      <c r="F19" s="43"/>
      <c r="G19" s="43">
        <v>2.7</v>
      </c>
      <c r="H19" s="43">
        <v>24799</v>
      </c>
      <c r="I19" s="43">
        <v>5065</v>
      </c>
      <c r="J19" s="43">
        <v>180</v>
      </c>
      <c r="K19" s="43">
        <v>111</v>
      </c>
      <c r="L19" s="43"/>
      <c r="M19" s="43"/>
      <c r="N19" s="43">
        <v>164</v>
      </c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s="42" customFormat="1" x14ac:dyDescent="0.2">
      <c r="A20" s="43">
        <v>264</v>
      </c>
      <c r="B20" s="43" t="s">
        <v>26</v>
      </c>
      <c r="C20" s="43"/>
      <c r="D20" s="44" t="s">
        <v>40</v>
      </c>
      <c r="E20" s="43">
        <v>94</v>
      </c>
      <c r="F20" s="43"/>
      <c r="G20" s="43">
        <v>0.3</v>
      </c>
      <c r="H20" s="43">
        <v>23057</v>
      </c>
      <c r="I20" s="43">
        <v>8580</v>
      </c>
      <c r="J20" s="43">
        <v>258</v>
      </c>
      <c r="K20" s="43">
        <v>247</v>
      </c>
      <c r="L20" s="43"/>
      <c r="M20" s="43"/>
      <c r="N20" s="43">
        <v>1175</v>
      </c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s="42" customFormat="1" x14ac:dyDescent="0.2">
      <c r="A21" s="43">
        <v>265</v>
      </c>
      <c r="B21" s="45" t="s">
        <v>27</v>
      </c>
      <c r="C21" s="45"/>
      <c r="D21" s="46" t="s">
        <v>40</v>
      </c>
      <c r="E21" s="43">
        <v>94</v>
      </c>
      <c r="F21" s="43"/>
      <c r="G21" s="43">
        <v>0.3</v>
      </c>
      <c r="H21" s="43">
        <v>23222</v>
      </c>
      <c r="I21" s="43">
        <v>8200</v>
      </c>
      <c r="J21" s="43">
        <v>262</v>
      </c>
      <c r="K21" s="43">
        <v>180</v>
      </c>
      <c r="L21" s="43"/>
      <c r="M21" s="43"/>
      <c r="N21" s="43">
        <v>1122</v>
      </c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s="42" customFormat="1" x14ac:dyDescent="0.2">
      <c r="A22" s="43">
        <v>266</v>
      </c>
      <c r="B22" s="43" t="s">
        <v>28</v>
      </c>
      <c r="C22" s="43"/>
      <c r="D22" s="44" t="s">
        <v>40</v>
      </c>
      <c r="E22" s="43">
        <v>265</v>
      </c>
      <c r="F22" s="43"/>
      <c r="G22" s="43">
        <v>0.3</v>
      </c>
      <c r="H22" s="43">
        <v>24915</v>
      </c>
      <c r="I22" s="43">
        <v>4583</v>
      </c>
      <c r="J22" s="43">
        <v>169</v>
      </c>
      <c r="K22" s="43">
        <v>184</v>
      </c>
      <c r="L22" s="43"/>
      <c r="M22" s="43"/>
      <c r="N22" s="43">
        <v>176</v>
      </c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s="42" customFormat="1" x14ac:dyDescent="0.2">
      <c r="A23" s="43">
        <v>267</v>
      </c>
      <c r="B23" s="43" t="s">
        <v>29</v>
      </c>
      <c r="C23" s="43"/>
      <c r="D23" s="44" t="s">
        <v>40</v>
      </c>
      <c r="E23" s="43">
        <v>265</v>
      </c>
      <c r="F23" s="43"/>
      <c r="G23" s="43">
        <v>0.3</v>
      </c>
      <c r="H23" s="43">
        <v>24698</v>
      </c>
      <c r="I23" s="43">
        <v>5215</v>
      </c>
      <c r="J23" s="43">
        <v>193</v>
      </c>
      <c r="K23" s="43">
        <v>117</v>
      </c>
      <c r="L23" s="43"/>
      <c r="M23" s="43"/>
      <c r="N23" s="43">
        <v>228</v>
      </c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s="42" customFormat="1" x14ac:dyDescent="0.2">
      <c r="A24" s="43">
        <v>268</v>
      </c>
      <c r="B24" s="43" t="s">
        <v>30</v>
      </c>
      <c r="C24" s="43"/>
      <c r="D24" s="44" t="s">
        <v>41</v>
      </c>
      <c r="E24" s="43">
        <v>965</v>
      </c>
      <c r="F24" s="43"/>
      <c r="G24" s="43">
        <v>0.3</v>
      </c>
      <c r="H24" s="43">
        <v>20548</v>
      </c>
      <c r="I24" s="43">
        <v>16045</v>
      </c>
      <c r="J24" s="43">
        <v>476</v>
      </c>
      <c r="K24" s="43">
        <v>224</v>
      </c>
      <c r="L24" s="43"/>
      <c r="M24" s="43"/>
      <c r="N24" s="43">
        <v>4279</v>
      </c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s="42" customFormat="1" x14ac:dyDescent="0.2">
      <c r="A25" s="43">
        <v>269</v>
      </c>
      <c r="B25" s="43" t="s">
        <v>31</v>
      </c>
      <c r="C25" s="43"/>
      <c r="D25" s="44" t="s">
        <v>41</v>
      </c>
      <c r="E25" s="43">
        <v>965</v>
      </c>
      <c r="F25" s="43"/>
      <c r="G25" s="43">
        <v>0.3</v>
      </c>
      <c r="H25" s="43">
        <v>18656</v>
      </c>
      <c r="I25" s="43">
        <v>24005</v>
      </c>
      <c r="J25" s="43">
        <v>664</v>
      </c>
      <c r="K25" s="43">
        <v>228</v>
      </c>
      <c r="L25" s="43"/>
      <c r="M25" s="43"/>
      <c r="N25" s="43">
        <v>6635</v>
      </c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s="42" customFormat="1" x14ac:dyDescent="0.2">
      <c r="A26" s="43">
        <v>272</v>
      </c>
      <c r="B26" s="43" t="s">
        <v>54</v>
      </c>
      <c r="C26" s="43" t="s">
        <v>56</v>
      </c>
      <c r="D26" s="44" t="s">
        <v>41</v>
      </c>
      <c r="E26" s="43">
        <v>965</v>
      </c>
      <c r="F26" s="43"/>
      <c r="G26" s="43">
        <v>0.3</v>
      </c>
      <c r="H26" s="43">
        <v>16313</v>
      </c>
      <c r="I26" s="43">
        <v>33520</v>
      </c>
      <c r="J26" s="43">
        <v>2815</v>
      </c>
      <c r="K26" s="43">
        <v>333</v>
      </c>
      <c r="L26" s="43"/>
      <c r="M26" s="43"/>
      <c r="N26" s="43">
        <v>6043</v>
      </c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s="42" customFormat="1" x14ac:dyDescent="0.2">
      <c r="A27" s="43">
        <v>273</v>
      </c>
      <c r="B27" s="43" t="s">
        <v>42</v>
      </c>
      <c r="C27" s="43" t="s">
        <v>56</v>
      </c>
      <c r="D27" s="44" t="s">
        <v>41</v>
      </c>
      <c r="E27" s="43">
        <v>965</v>
      </c>
      <c r="F27" s="43"/>
      <c r="G27" s="43">
        <v>0.3</v>
      </c>
      <c r="H27" s="43">
        <v>17216</v>
      </c>
      <c r="I27" s="43">
        <v>30735</v>
      </c>
      <c r="J27" s="43">
        <v>717</v>
      </c>
      <c r="K27" s="43">
        <v>391</v>
      </c>
      <c r="L27" s="43">
        <v>651</v>
      </c>
      <c r="M27" s="43">
        <v>593</v>
      </c>
      <c r="N27" s="43">
        <v>7611</v>
      </c>
      <c r="O27" s="43">
        <v>10532</v>
      </c>
      <c r="P27" s="43"/>
      <c r="Q27" s="43">
        <v>7239</v>
      </c>
      <c r="R27" s="43">
        <v>4</v>
      </c>
      <c r="S27" s="43">
        <v>0</v>
      </c>
      <c r="T27" s="43">
        <v>4</v>
      </c>
      <c r="U27" s="43">
        <v>0</v>
      </c>
      <c r="V27" s="43">
        <v>0.52069373275522202</v>
      </c>
      <c r="W27" s="43">
        <v>0.251044436004557</v>
      </c>
      <c r="X27" s="43">
        <v>0.110599078341013</v>
      </c>
      <c r="Y27" s="43">
        <v>2851</v>
      </c>
      <c r="Z27" s="43">
        <v>386</v>
      </c>
    </row>
    <row r="28" spans="1:26" s="42" customFormat="1" x14ac:dyDescent="0.2">
      <c r="A28" s="43">
        <v>278</v>
      </c>
      <c r="B28" s="43" t="s">
        <v>49</v>
      </c>
      <c r="C28" s="43" t="s">
        <v>56</v>
      </c>
      <c r="D28" s="44" t="s">
        <v>41</v>
      </c>
      <c r="E28" s="43">
        <v>265</v>
      </c>
      <c r="F28" s="43"/>
      <c r="G28" s="43">
        <v>0.3</v>
      </c>
      <c r="H28" s="43">
        <v>12903</v>
      </c>
      <c r="I28" s="43">
        <v>16308</v>
      </c>
      <c r="J28" s="43">
        <v>509</v>
      </c>
      <c r="K28" s="43">
        <v>339</v>
      </c>
      <c r="L28" s="43"/>
      <c r="M28" s="43"/>
      <c r="N28" s="43">
        <v>5848</v>
      </c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s="42" customFormat="1" x14ac:dyDescent="0.2">
      <c r="A29" s="43">
        <v>278</v>
      </c>
      <c r="B29" s="43" t="s">
        <v>59</v>
      </c>
      <c r="C29" s="43" t="s">
        <v>56</v>
      </c>
      <c r="D29" s="44" t="s">
        <v>41</v>
      </c>
      <c r="E29" s="43">
        <v>265</v>
      </c>
      <c r="F29" s="43"/>
      <c r="G29" s="43">
        <v>0.3</v>
      </c>
      <c r="H29" s="43">
        <v>16029</v>
      </c>
      <c r="I29" s="43">
        <v>36021</v>
      </c>
      <c r="J29" s="43">
        <v>890</v>
      </c>
      <c r="K29" s="43">
        <v>453</v>
      </c>
      <c r="L29" s="43">
        <v>849</v>
      </c>
      <c r="M29" s="43">
        <v>777</v>
      </c>
      <c r="N29" s="43">
        <v>9325</v>
      </c>
      <c r="O29" s="43">
        <v>12235</v>
      </c>
      <c r="P29" s="43">
        <v>11083</v>
      </c>
      <c r="Q29" s="43">
        <v>9050</v>
      </c>
      <c r="R29" s="43">
        <v>1</v>
      </c>
      <c r="S29" s="43">
        <v>1</v>
      </c>
      <c r="T29" s="43">
        <v>1</v>
      </c>
      <c r="U29" s="43">
        <v>1</v>
      </c>
      <c r="V29" s="43">
        <v>0.57608579088471801</v>
      </c>
      <c r="W29" s="43">
        <v>0.28426644871270901</v>
      </c>
      <c r="X29" s="43">
        <v>0.12838633686690201</v>
      </c>
      <c r="Y29" s="43">
        <v>3125</v>
      </c>
      <c r="Z29" s="43">
        <v>522</v>
      </c>
    </row>
    <row r="30" spans="1:26" s="42" customFormat="1" x14ac:dyDescent="0.2">
      <c r="A30" s="43">
        <v>279</v>
      </c>
      <c r="B30" s="43" t="s">
        <v>48</v>
      </c>
      <c r="C30" s="43" t="s">
        <v>56</v>
      </c>
      <c r="D30" s="44" t="s">
        <v>41</v>
      </c>
      <c r="E30" s="43">
        <v>265</v>
      </c>
      <c r="F30" s="43"/>
      <c r="G30" s="43">
        <v>0.3</v>
      </c>
      <c r="H30" s="43">
        <v>20178</v>
      </c>
      <c r="I30" s="43">
        <v>17583</v>
      </c>
      <c r="J30" s="43">
        <v>436</v>
      </c>
      <c r="K30" s="43">
        <v>331</v>
      </c>
      <c r="L30" s="43"/>
      <c r="M30" s="43"/>
      <c r="N30" s="43">
        <v>2954</v>
      </c>
      <c r="O30" s="43"/>
      <c r="P30" s="43"/>
      <c r="Q30" s="43"/>
      <c r="R30" s="43"/>
      <c r="S30" s="43"/>
      <c r="T30" s="43"/>
      <c r="U30" s="43"/>
      <c r="V30" s="43"/>
      <c r="X30" s="43"/>
      <c r="Y30" s="43"/>
      <c r="Z30" s="43"/>
    </row>
    <row r="31" spans="1:26" s="42" customFormat="1" x14ac:dyDescent="0.2">
      <c r="A31" s="43">
        <v>281</v>
      </c>
      <c r="B31" s="43" t="s">
        <v>43</v>
      </c>
      <c r="C31" s="43" t="s">
        <v>56</v>
      </c>
      <c r="D31" s="44" t="s">
        <v>41</v>
      </c>
      <c r="E31" s="43">
        <v>965</v>
      </c>
      <c r="F31" s="43"/>
      <c r="G31" s="43">
        <v>0.3</v>
      </c>
      <c r="H31" s="43">
        <v>24108</v>
      </c>
      <c r="I31" s="43">
        <v>6536</v>
      </c>
      <c r="J31" s="43">
        <v>142</v>
      </c>
      <c r="K31" s="43">
        <v>52</v>
      </c>
      <c r="L31" s="43"/>
      <c r="M31" s="43"/>
      <c r="N31" s="43">
        <v>126</v>
      </c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s="42" customFormat="1" x14ac:dyDescent="0.2">
      <c r="A32" s="43">
        <v>282</v>
      </c>
      <c r="B32" s="43" t="s">
        <v>44</v>
      </c>
      <c r="C32" s="43" t="s">
        <v>56</v>
      </c>
      <c r="D32" s="44" t="s">
        <v>41</v>
      </c>
      <c r="E32" s="43">
        <v>965</v>
      </c>
      <c r="F32" s="43"/>
      <c r="G32" s="43">
        <v>0.3</v>
      </c>
      <c r="H32" s="43">
        <v>18594</v>
      </c>
      <c r="I32" s="43">
        <v>24106</v>
      </c>
      <c r="J32" s="43">
        <v>786</v>
      </c>
      <c r="K32" s="43">
        <v>418</v>
      </c>
      <c r="L32" s="43"/>
      <c r="M32" s="43"/>
      <c r="N32" s="43">
        <v>5635</v>
      </c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s="42" customFormat="1" x14ac:dyDescent="0.2">
      <c r="A33" s="43">
        <v>284</v>
      </c>
      <c r="B33" s="43" t="s">
        <v>47</v>
      </c>
      <c r="C33" s="43" t="s">
        <v>56</v>
      </c>
      <c r="D33" s="44" t="s">
        <v>41</v>
      </c>
      <c r="E33" s="43">
        <v>265</v>
      </c>
      <c r="F33" s="43"/>
      <c r="G33" s="43">
        <v>0.3</v>
      </c>
      <c r="H33" s="43">
        <v>23427</v>
      </c>
      <c r="I33" s="43">
        <v>8330</v>
      </c>
      <c r="J33" s="43">
        <v>24</v>
      </c>
      <c r="K33" s="43">
        <v>79</v>
      </c>
      <c r="L33" s="43"/>
      <c r="M33" s="43"/>
      <c r="N33" s="43">
        <v>113</v>
      </c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s="42" customFormat="1" x14ac:dyDescent="0.2">
      <c r="A34" s="43">
        <v>334</v>
      </c>
      <c r="B34" s="43" t="s">
        <v>58</v>
      </c>
      <c r="C34" s="43" t="s">
        <v>56</v>
      </c>
      <c r="D34" s="44" t="s">
        <v>40</v>
      </c>
      <c r="E34" s="43">
        <v>94</v>
      </c>
      <c r="F34" s="43"/>
      <c r="G34" s="43">
        <v>0.3</v>
      </c>
      <c r="H34" s="43">
        <v>17152</v>
      </c>
      <c r="I34" s="43">
        <v>29403</v>
      </c>
      <c r="J34" s="43">
        <v>2438</v>
      </c>
      <c r="K34" s="43">
        <v>244</v>
      </c>
      <c r="L34" s="43"/>
      <c r="M34" s="43"/>
      <c r="N34" s="43">
        <v>3276</v>
      </c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s="42" customFormat="1" x14ac:dyDescent="0.2">
      <c r="A35" s="43">
        <v>335</v>
      </c>
      <c r="B35" s="43" t="s">
        <v>46</v>
      </c>
      <c r="C35" s="43" t="s">
        <v>56</v>
      </c>
      <c r="D35" s="44" t="s">
        <v>40</v>
      </c>
      <c r="E35" s="43">
        <v>94</v>
      </c>
      <c r="F35" s="43"/>
      <c r="G35" s="43">
        <v>0.3</v>
      </c>
      <c r="H35" s="43">
        <v>21852</v>
      </c>
      <c r="I35" s="43">
        <v>11389</v>
      </c>
      <c r="J35" s="43">
        <v>180</v>
      </c>
      <c r="K35" s="43">
        <v>91</v>
      </c>
      <c r="L35" s="43"/>
      <c r="M35" s="43"/>
      <c r="N35" s="43">
        <v>248</v>
      </c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s="42" customFormat="1" x14ac:dyDescent="0.2">
      <c r="A36" s="43">
        <v>336</v>
      </c>
      <c r="B36" s="43" t="s">
        <v>57</v>
      </c>
      <c r="C36" s="43" t="s">
        <v>56</v>
      </c>
      <c r="D36" s="44" t="s">
        <v>40</v>
      </c>
      <c r="E36" s="43">
        <v>94</v>
      </c>
      <c r="F36" s="43"/>
      <c r="G36" s="43">
        <v>0.3</v>
      </c>
      <c r="H36" s="43">
        <v>16973</v>
      </c>
      <c r="I36" s="43">
        <v>30473</v>
      </c>
      <c r="J36" s="43">
        <v>1725</v>
      </c>
      <c r="K36" s="43">
        <v>262</v>
      </c>
      <c r="L36" s="43"/>
      <c r="M36" s="43"/>
      <c r="N36" s="43">
        <v>4323</v>
      </c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s="42" customFormat="1" x14ac:dyDescent="0.2">
      <c r="A37" s="43">
        <v>337</v>
      </c>
      <c r="B37" s="43" t="s">
        <v>45</v>
      </c>
      <c r="C37" s="43" t="s">
        <v>56</v>
      </c>
      <c r="D37" s="44" t="s">
        <v>40</v>
      </c>
      <c r="E37" s="43">
        <v>94</v>
      </c>
      <c r="F37" s="43"/>
      <c r="G37" s="43">
        <v>0.3</v>
      </c>
      <c r="H37" s="43">
        <v>22554</v>
      </c>
      <c r="I37" s="43">
        <v>9344</v>
      </c>
      <c r="J37" s="43">
        <v>168</v>
      </c>
      <c r="K37" s="43">
        <v>124</v>
      </c>
      <c r="L37" s="43"/>
      <c r="M37" s="43"/>
      <c r="N37" s="43">
        <v>256</v>
      </c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s="42" customFormat="1" x14ac:dyDescent="0.2">
      <c r="A38" s="43">
        <v>378</v>
      </c>
      <c r="B38" s="43" t="s">
        <v>61</v>
      </c>
      <c r="C38" s="43" t="s">
        <v>60</v>
      </c>
      <c r="D38" s="44" t="s">
        <v>41</v>
      </c>
      <c r="E38" s="43">
        <v>100</v>
      </c>
      <c r="F38" s="43"/>
      <c r="G38" s="43">
        <v>0.3</v>
      </c>
      <c r="H38" s="43">
        <v>22679</v>
      </c>
      <c r="I38" s="43">
        <v>9540</v>
      </c>
      <c r="J38" s="43">
        <v>342</v>
      </c>
      <c r="K38" s="43">
        <v>317</v>
      </c>
      <c r="L38" s="43">
        <v>330</v>
      </c>
      <c r="M38" s="43">
        <v>302</v>
      </c>
      <c r="N38" s="43">
        <v>1282</v>
      </c>
      <c r="O38" s="43">
        <v>1476</v>
      </c>
      <c r="P38" s="43"/>
      <c r="Q38" s="43">
        <v>1207</v>
      </c>
      <c r="R38" s="43">
        <v>1</v>
      </c>
      <c r="S38" s="43">
        <v>0</v>
      </c>
      <c r="T38" s="43">
        <v>1</v>
      </c>
      <c r="U38" s="43">
        <v>0</v>
      </c>
      <c r="V38" s="43">
        <v>0.34321372854914101</v>
      </c>
      <c r="W38" s="43">
        <v>0.23780487804878001</v>
      </c>
      <c r="X38" s="43">
        <v>8.7878787878787806E-2</v>
      </c>
      <c r="Y38" s="43">
        <v>551</v>
      </c>
      <c r="Z38" s="43">
        <v>212</v>
      </c>
    </row>
  </sheetData>
  <sortState xmlns:xlrd2="http://schemas.microsoft.com/office/spreadsheetml/2017/richdata2" ref="A2:Z38">
    <sortCondition ref="A2:A38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0150-FE20-EF4E-A730-E468B673F75A}">
  <dimension ref="A1:X48"/>
  <sheetViews>
    <sheetView workbookViewId="0">
      <pane ySplit="1" topLeftCell="A55" activePane="bottomLeft" state="frozen"/>
      <selection pane="bottomLeft" activeCell="A40" sqref="A40"/>
    </sheetView>
  </sheetViews>
  <sheetFormatPr baseColWidth="10" defaultRowHeight="16" x14ac:dyDescent="0.2"/>
  <cols>
    <col min="2" max="2" width="25.33203125" customWidth="1"/>
    <col min="3" max="3" width="15" customWidth="1"/>
    <col min="4" max="4" width="22.33203125" style="1" customWidth="1"/>
    <col min="20" max="20" width="14.5" customWidth="1"/>
    <col min="21" max="21" width="11.83203125" customWidth="1"/>
    <col min="22" max="22" width="12" customWidth="1"/>
    <col min="23" max="23" width="14.33203125" customWidth="1"/>
    <col min="24" max="24" width="13.1640625" customWidth="1"/>
  </cols>
  <sheetData>
    <row r="1" spans="1:24" s="15" customFormat="1" ht="85" x14ac:dyDescent="0.2">
      <c r="A1" s="16" t="s">
        <v>0</v>
      </c>
      <c r="B1" s="16" t="s">
        <v>1</v>
      </c>
      <c r="C1" s="16" t="s">
        <v>55</v>
      </c>
      <c r="D1" s="16" t="s">
        <v>39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63</v>
      </c>
      <c r="K1" s="16" t="s">
        <v>62</v>
      </c>
      <c r="L1" s="16" t="s">
        <v>68</v>
      </c>
      <c r="M1" s="16" t="s">
        <v>70</v>
      </c>
      <c r="N1" s="16" t="s">
        <v>65</v>
      </c>
      <c r="O1" s="16" t="s">
        <v>66</v>
      </c>
      <c r="P1" s="16" t="s">
        <v>71</v>
      </c>
      <c r="Q1" s="16" t="s">
        <v>73</v>
      </c>
      <c r="R1" s="16" t="s">
        <v>72</v>
      </c>
      <c r="S1" s="16" t="s">
        <v>74</v>
      </c>
      <c r="T1" s="16" t="s">
        <v>7</v>
      </c>
      <c r="U1" s="16" t="s">
        <v>53</v>
      </c>
      <c r="V1" s="16" t="s">
        <v>67</v>
      </c>
      <c r="W1" s="16" t="s">
        <v>69</v>
      </c>
      <c r="X1" s="16"/>
    </row>
    <row r="2" spans="1:24" s="23" customFormat="1" x14ac:dyDescent="0.2">
      <c r="A2" s="79" t="s">
        <v>52</v>
      </c>
      <c r="B2" s="79"/>
      <c r="C2" s="29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</row>
    <row r="3" spans="1:24" x14ac:dyDescent="0.2">
      <c r="A3" s="17">
        <v>230</v>
      </c>
      <c r="B3" s="17" t="s">
        <v>8</v>
      </c>
      <c r="C3" s="17" t="s">
        <v>64</v>
      </c>
      <c r="D3" s="18" t="s">
        <v>41</v>
      </c>
      <c r="E3" s="17">
        <v>50</v>
      </c>
      <c r="F3" s="17">
        <v>538</v>
      </c>
      <c r="G3" s="17">
        <v>0.3</v>
      </c>
      <c r="H3" s="17">
        <v>16230</v>
      </c>
      <c r="I3" s="17">
        <v>34535</v>
      </c>
      <c r="J3" s="17">
        <v>2952</v>
      </c>
      <c r="K3" s="17">
        <v>1285</v>
      </c>
      <c r="L3" s="17"/>
      <c r="M3" s="17"/>
      <c r="N3" s="17">
        <v>9495</v>
      </c>
      <c r="O3" s="17"/>
      <c r="P3" s="17"/>
      <c r="Q3" s="17"/>
      <c r="R3" s="17"/>
      <c r="S3" s="17"/>
      <c r="T3" s="17"/>
      <c r="U3" s="17"/>
      <c r="V3" s="17"/>
      <c r="W3" s="17"/>
      <c r="X3" s="17"/>
    </row>
    <row r="4" spans="1:24" s="2" customFormat="1" x14ac:dyDescent="0.2">
      <c r="A4" s="21">
        <v>231</v>
      </c>
      <c r="B4" s="21" t="s">
        <v>9</v>
      </c>
      <c r="C4" s="21" t="s">
        <v>64</v>
      </c>
      <c r="D4" s="22" t="s">
        <v>41</v>
      </c>
      <c r="E4" s="21">
        <v>100</v>
      </c>
      <c r="F4" s="21">
        <v>743</v>
      </c>
      <c r="G4" s="21">
        <v>0.3</v>
      </c>
      <c r="H4" s="21">
        <v>19284</v>
      </c>
      <c r="I4" s="21">
        <v>21252</v>
      </c>
      <c r="J4" s="21">
        <v>2462</v>
      </c>
      <c r="K4" s="21">
        <v>1467</v>
      </c>
      <c r="L4" s="21">
        <v>1932</v>
      </c>
      <c r="M4" s="21">
        <v>1630</v>
      </c>
      <c r="N4" s="21">
        <v>3437</v>
      </c>
      <c r="O4" s="21">
        <v>3218</v>
      </c>
      <c r="P4" s="21">
        <v>104</v>
      </c>
      <c r="Q4" s="21">
        <v>18</v>
      </c>
      <c r="R4" s="21">
        <v>7</v>
      </c>
      <c r="S4" s="21">
        <v>0</v>
      </c>
      <c r="T4" s="21">
        <v>0.27698574338085502</v>
      </c>
      <c r="U4" s="21">
        <v>0.114906832298136</v>
      </c>
      <c r="V4" s="21">
        <v>1392</v>
      </c>
      <c r="W4" s="21">
        <v>823</v>
      </c>
      <c r="X4" s="21"/>
    </row>
    <row r="5" spans="1:24" x14ac:dyDescent="0.2">
      <c r="A5" s="5">
        <v>232</v>
      </c>
      <c r="B5" s="5" t="s">
        <v>10</v>
      </c>
      <c r="C5" s="5" t="s">
        <v>64</v>
      </c>
      <c r="D5" s="6" t="s">
        <v>41</v>
      </c>
      <c r="E5" s="5">
        <v>130</v>
      </c>
      <c r="F5" s="5">
        <v>540</v>
      </c>
      <c r="G5" s="5">
        <v>0.3</v>
      </c>
      <c r="H5" s="5">
        <v>20133</v>
      </c>
      <c r="I5" s="5">
        <v>18113</v>
      </c>
      <c r="J5" s="5">
        <v>1657</v>
      </c>
      <c r="K5" s="5">
        <v>1335</v>
      </c>
      <c r="L5" s="5"/>
      <c r="M5" s="5"/>
      <c r="N5" s="5">
        <v>2653</v>
      </c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s="4" customFormat="1" x14ac:dyDescent="0.2">
      <c r="A6" s="11">
        <v>233</v>
      </c>
      <c r="B6" s="11" t="s">
        <v>11</v>
      </c>
      <c r="C6" s="11" t="s">
        <v>64</v>
      </c>
      <c r="D6" s="12" t="s">
        <v>41</v>
      </c>
      <c r="E6" s="11">
        <v>265</v>
      </c>
      <c r="F6" s="11">
        <v>666</v>
      </c>
      <c r="G6" s="11">
        <v>0.3</v>
      </c>
      <c r="H6" s="11">
        <v>19978</v>
      </c>
      <c r="I6" s="11">
        <v>18899</v>
      </c>
      <c r="J6" s="11">
        <v>1862</v>
      </c>
      <c r="K6" s="11">
        <v>1243</v>
      </c>
      <c r="L6" s="11">
        <v>1616</v>
      </c>
      <c r="M6" s="11">
        <v>1409</v>
      </c>
      <c r="N6" s="11">
        <v>2854</v>
      </c>
      <c r="O6" s="11">
        <v>2658</v>
      </c>
      <c r="P6" s="11">
        <v>1</v>
      </c>
      <c r="Q6" s="11">
        <v>28</v>
      </c>
      <c r="R6" s="11">
        <v>2</v>
      </c>
      <c r="S6" s="11">
        <v>1</v>
      </c>
      <c r="T6" s="11">
        <v>0.29572529782760998</v>
      </c>
      <c r="U6" s="11">
        <v>9.4059405940594004E-2</v>
      </c>
      <c r="V6" s="11">
        <v>1129</v>
      </c>
      <c r="W6" s="11">
        <v>757</v>
      </c>
      <c r="X6" s="11"/>
    </row>
    <row r="7" spans="1:24" x14ac:dyDescent="0.2">
      <c r="A7" s="5">
        <v>234</v>
      </c>
      <c r="B7" s="5" t="s">
        <v>12</v>
      </c>
      <c r="C7" s="5" t="s">
        <v>64</v>
      </c>
      <c r="D7" s="6" t="s">
        <v>41</v>
      </c>
      <c r="E7" s="5">
        <v>300</v>
      </c>
      <c r="F7" s="5">
        <v>655</v>
      </c>
      <c r="G7" s="5">
        <v>0.3</v>
      </c>
      <c r="H7" s="5">
        <v>21267</v>
      </c>
      <c r="I7" s="5">
        <v>14042</v>
      </c>
      <c r="J7" s="5">
        <v>981</v>
      </c>
      <c r="K7" s="5">
        <v>824</v>
      </c>
      <c r="L7" s="5"/>
      <c r="M7" s="5"/>
      <c r="N7" s="5">
        <v>1865</v>
      </c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">
      <c r="A8" s="5">
        <v>235</v>
      </c>
      <c r="B8" s="5" t="s">
        <v>13</v>
      </c>
      <c r="C8" s="5" t="s">
        <v>64</v>
      </c>
      <c r="D8" s="6" t="s">
        <v>41</v>
      </c>
      <c r="E8" s="5">
        <v>1200</v>
      </c>
      <c r="F8" s="5">
        <v>730</v>
      </c>
      <c r="G8" s="5">
        <v>0.3</v>
      </c>
      <c r="H8" s="5">
        <v>24645</v>
      </c>
      <c r="I8" s="5">
        <v>5300</v>
      </c>
      <c r="J8" s="5">
        <v>146</v>
      </c>
      <c r="K8" s="5">
        <v>37</v>
      </c>
      <c r="L8" s="5"/>
      <c r="M8" s="5"/>
      <c r="N8" s="5">
        <v>422</v>
      </c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">
      <c r="A9" s="5">
        <v>238</v>
      </c>
      <c r="B9" s="5" t="s">
        <v>14</v>
      </c>
      <c r="C9" s="5" t="s">
        <v>75</v>
      </c>
      <c r="D9" s="6" t="s">
        <v>41</v>
      </c>
      <c r="E9" s="5">
        <v>80</v>
      </c>
      <c r="F9" s="5"/>
      <c r="G9" s="5">
        <v>0.3</v>
      </c>
      <c r="H9" s="5">
        <v>20347</v>
      </c>
      <c r="I9" s="5">
        <v>17310</v>
      </c>
      <c r="J9" s="5">
        <v>241</v>
      </c>
      <c r="K9" s="5">
        <v>272</v>
      </c>
      <c r="L9" s="5"/>
      <c r="M9" s="5"/>
      <c r="N9" s="5">
        <v>2313</v>
      </c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">
      <c r="A10" s="5">
        <v>239</v>
      </c>
      <c r="B10" s="5" t="s">
        <v>15</v>
      </c>
      <c r="C10" s="5" t="s">
        <v>75</v>
      </c>
      <c r="D10" s="6" t="s">
        <v>41</v>
      </c>
      <c r="E10" s="5">
        <v>115</v>
      </c>
      <c r="F10" s="5"/>
      <c r="G10" s="5">
        <v>0.3</v>
      </c>
      <c r="H10" s="5">
        <v>15930</v>
      </c>
      <c r="I10" s="5">
        <v>34506</v>
      </c>
      <c r="J10" s="5">
        <v>1538</v>
      </c>
      <c r="K10" s="5">
        <v>1216</v>
      </c>
      <c r="L10" s="5"/>
      <c r="M10" s="5"/>
      <c r="N10" s="5">
        <v>7561</v>
      </c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">
      <c r="A11" s="5">
        <v>240</v>
      </c>
      <c r="B11" s="5" t="s">
        <v>16</v>
      </c>
      <c r="C11" s="5" t="s">
        <v>75</v>
      </c>
      <c r="D11" s="6" t="s">
        <v>41</v>
      </c>
      <c r="E11" s="5">
        <v>190</v>
      </c>
      <c r="F11" s="5"/>
      <c r="G11" s="5">
        <v>0.3</v>
      </c>
      <c r="H11" s="5">
        <v>16174</v>
      </c>
      <c r="I11" s="5">
        <v>33351</v>
      </c>
      <c r="J11" s="5">
        <v>827</v>
      </c>
      <c r="K11" s="5">
        <v>703</v>
      </c>
      <c r="L11" s="5"/>
      <c r="M11" s="5"/>
      <c r="N11" s="5">
        <v>5766</v>
      </c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">
      <c r="A12" s="5">
        <v>241</v>
      </c>
      <c r="B12" s="5" t="s">
        <v>17</v>
      </c>
      <c r="C12" s="5" t="s">
        <v>75</v>
      </c>
      <c r="D12" s="6" t="s">
        <v>41</v>
      </c>
      <c r="E12" s="5">
        <v>400</v>
      </c>
      <c r="F12" s="5"/>
      <c r="G12" s="5">
        <v>0.3</v>
      </c>
      <c r="H12" s="5">
        <v>17520</v>
      </c>
      <c r="I12" s="5">
        <v>28443</v>
      </c>
      <c r="J12" s="5">
        <v>390</v>
      </c>
      <c r="K12" s="5">
        <v>432</v>
      </c>
      <c r="L12" s="5"/>
      <c r="M12" s="5"/>
      <c r="N12" s="5">
        <v>3867</v>
      </c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">
      <c r="A13" s="5">
        <v>242</v>
      </c>
      <c r="B13" s="5" t="s">
        <v>18</v>
      </c>
      <c r="C13" s="5" t="s">
        <v>75</v>
      </c>
      <c r="D13" s="6" t="s">
        <v>41</v>
      </c>
      <c r="E13" s="5">
        <v>500</v>
      </c>
      <c r="F13" s="5"/>
      <c r="G13" s="5">
        <v>0.3</v>
      </c>
      <c r="H13" s="5">
        <v>17252</v>
      </c>
      <c r="I13" s="5">
        <v>29256</v>
      </c>
      <c r="J13" s="5">
        <v>390</v>
      </c>
      <c r="K13" s="5">
        <v>340</v>
      </c>
      <c r="L13" s="5"/>
      <c r="M13" s="5"/>
      <c r="N13" s="5">
        <v>4263</v>
      </c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s="3" customFormat="1" x14ac:dyDescent="0.2">
      <c r="A14" s="13">
        <v>243</v>
      </c>
      <c r="B14" s="13" t="s">
        <v>19</v>
      </c>
      <c r="C14" s="13" t="s">
        <v>75</v>
      </c>
      <c r="D14" s="14" t="s">
        <v>41</v>
      </c>
      <c r="E14" s="13">
        <v>965</v>
      </c>
      <c r="F14" s="13"/>
      <c r="G14" s="13">
        <v>0.3</v>
      </c>
      <c r="H14" s="13">
        <v>20664</v>
      </c>
      <c r="I14" s="13">
        <v>15893</v>
      </c>
      <c r="J14" s="13">
        <v>505</v>
      </c>
      <c r="K14" s="13">
        <v>319</v>
      </c>
      <c r="L14" s="13">
        <v>477</v>
      </c>
      <c r="M14" s="13">
        <v>405</v>
      </c>
      <c r="N14" s="13">
        <v>1305</v>
      </c>
      <c r="O14" s="13">
        <v>1189</v>
      </c>
      <c r="P14" s="13">
        <v>1</v>
      </c>
      <c r="Q14" s="13">
        <v>7</v>
      </c>
      <c r="R14" s="13">
        <v>0</v>
      </c>
      <c r="S14" s="13">
        <v>0</v>
      </c>
      <c r="T14" s="13">
        <v>0.30727969348659001</v>
      </c>
      <c r="U14" s="13">
        <v>7.7568134171907693E-2</v>
      </c>
      <c r="V14" s="13">
        <v>555</v>
      </c>
      <c r="W14" s="13">
        <v>225</v>
      </c>
      <c r="X14" s="13"/>
    </row>
    <row r="15" spans="1:24" x14ac:dyDescent="0.2">
      <c r="A15" s="5">
        <v>246</v>
      </c>
      <c r="B15" s="5" t="s">
        <v>20</v>
      </c>
      <c r="C15" s="5"/>
      <c r="D15" s="6" t="s">
        <v>41</v>
      </c>
      <c r="E15" s="5">
        <v>50</v>
      </c>
      <c r="F15" s="5"/>
      <c r="G15" s="5">
        <v>2.7</v>
      </c>
      <c r="H15" s="5">
        <v>15645</v>
      </c>
      <c r="I15" s="5">
        <v>35948</v>
      </c>
      <c r="J15" s="5">
        <v>1369</v>
      </c>
      <c r="K15" s="5">
        <v>438</v>
      </c>
      <c r="L15" s="5"/>
      <c r="M15" s="5"/>
      <c r="N15" s="5">
        <v>6797</v>
      </c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">
      <c r="A16" s="5">
        <v>247</v>
      </c>
      <c r="B16" s="5" t="s">
        <v>21</v>
      </c>
      <c r="C16" s="5"/>
      <c r="D16" s="6" t="s">
        <v>41</v>
      </c>
      <c r="E16" s="5">
        <v>100</v>
      </c>
      <c r="F16" s="5"/>
      <c r="G16" s="5">
        <v>2.7</v>
      </c>
      <c r="H16" s="5">
        <v>20301</v>
      </c>
      <c r="I16" s="5">
        <v>16693</v>
      </c>
      <c r="J16" s="5">
        <v>762</v>
      </c>
      <c r="K16" s="5">
        <v>327</v>
      </c>
      <c r="L16" s="5"/>
      <c r="M16" s="5"/>
      <c r="N16" s="5">
        <v>1800</v>
      </c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">
      <c r="A17" s="5">
        <v>248</v>
      </c>
      <c r="B17" s="5" t="s">
        <v>22</v>
      </c>
      <c r="C17" s="5"/>
      <c r="D17" s="6" t="s">
        <v>41</v>
      </c>
      <c r="E17" s="5">
        <v>130</v>
      </c>
      <c r="F17" s="5"/>
      <c r="G17" s="5">
        <v>2.7</v>
      </c>
      <c r="H17" s="5">
        <v>21541</v>
      </c>
      <c r="I17" s="5">
        <v>12626</v>
      </c>
      <c r="J17" s="5">
        <v>367</v>
      </c>
      <c r="K17" s="5">
        <v>213</v>
      </c>
      <c r="L17" s="5"/>
      <c r="M17" s="5"/>
      <c r="N17" s="5">
        <v>1549</v>
      </c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">
      <c r="A18" s="5">
        <v>249</v>
      </c>
      <c r="B18" s="5" t="s">
        <v>23</v>
      </c>
      <c r="C18" s="5"/>
      <c r="D18" s="6" t="s">
        <v>41</v>
      </c>
      <c r="E18" s="5">
        <v>265</v>
      </c>
      <c r="F18" s="5"/>
      <c r="G18" s="5">
        <v>2.7</v>
      </c>
      <c r="H18" s="5">
        <v>22925</v>
      </c>
      <c r="I18" s="5">
        <v>9130</v>
      </c>
      <c r="J18" s="5">
        <v>291</v>
      </c>
      <c r="K18" s="5">
        <v>187</v>
      </c>
      <c r="L18" s="5"/>
      <c r="M18" s="5"/>
      <c r="N18" s="5">
        <v>846</v>
      </c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">
      <c r="A19" s="5">
        <v>250</v>
      </c>
      <c r="B19" s="5" t="s">
        <v>24</v>
      </c>
      <c r="C19" s="5"/>
      <c r="D19" s="6" t="s">
        <v>41</v>
      </c>
      <c r="E19" s="5">
        <v>300</v>
      </c>
      <c r="F19" s="5"/>
      <c r="G19" s="5">
        <v>2.7</v>
      </c>
      <c r="H19" s="5">
        <v>22739</v>
      </c>
      <c r="I19" s="5">
        <v>9624</v>
      </c>
      <c r="J19" s="5">
        <v>310</v>
      </c>
      <c r="K19" s="5">
        <v>251</v>
      </c>
      <c r="L19" s="5"/>
      <c r="M19" s="5"/>
      <c r="N19" s="5">
        <v>639</v>
      </c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">
      <c r="A20" s="19">
        <v>251</v>
      </c>
      <c r="B20" s="19" t="s">
        <v>25</v>
      </c>
      <c r="C20" s="19"/>
      <c r="D20" s="20" t="s">
        <v>41</v>
      </c>
      <c r="E20" s="19">
        <v>1200</v>
      </c>
      <c r="F20" s="19"/>
      <c r="G20" s="19">
        <v>2.7</v>
      </c>
      <c r="H20" s="19">
        <v>24799</v>
      </c>
      <c r="I20" s="19">
        <v>5065</v>
      </c>
      <c r="J20" s="19">
        <v>180</v>
      </c>
      <c r="K20" s="19">
        <v>111</v>
      </c>
      <c r="L20" s="19"/>
      <c r="M20" s="19"/>
      <c r="N20" s="19">
        <v>164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s="23" customFormat="1" x14ac:dyDescent="0.2">
      <c r="A21" s="77" t="s">
        <v>51</v>
      </c>
      <c r="B21" s="78"/>
      <c r="C21" s="28"/>
      <c r="D21" s="24"/>
    </row>
    <row r="22" spans="1:24" s="2" customFormat="1" x14ac:dyDescent="0.2">
      <c r="A22" s="21">
        <v>264</v>
      </c>
      <c r="B22" s="21" t="s">
        <v>26</v>
      </c>
      <c r="C22" s="21"/>
      <c r="D22" s="22" t="s">
        <v>40</v>
      </c>
      <c r="E22" s="21">
        <v>94</v>
      </c>
      <c r="F22" s="21"/>
      <c r="G22" s="21">
        <v>0.3</v>
      </c>
      <c r="H22" s="21">
        <v>23057</v>
      </c>
      <c r="I22" s="21">
        <v>8580</v>
      </c>
      <c r="J22" s="21">
        <v>258</v>
      </c>
      <c r="K22" s="21">
        <v>247</v>
      </c>
      <c r="L22" s="21"/>
      <c r="M22" s="21"/>
      <c r="N22" s="21">
        <v>1175</v>
      </c>
      <c r="O22" s="21"/>
      <c r="P22" s="21"/>
      <c r="Q22" s="21"/>
      <c r="R22" s="21"/>
      <c r="S22" s="21"/>
      <c r="T22" s="21"/>
      <c r="U22" s="21"/>
      <c r="V22" s="21"/>
      <c r="W22" s="21"/>
      <c r="X22" s="21"/>
    </row>
    <row r="23" spans="1:24" s="2" customFormat="1" x14ac:dyDescent="0.2">
      <c r="A23" s="7">
        <v>265</v>
      </c>
      <c r="B23" s="9" t="s">
        <v>27</v>
      </c>
      <c r="C23" s="9"/>
      <c r="D23" s="10" t="s">
        <v>40</v>
      </c>
      <c r="E23" s="7">
        <v>94</v>
      </c>
      <c r="F23" s="7"/>
      <c r="G23" s="7">
        <v>0.3</v>
      </c>
      <c r="H23" s="7">
        <v>23222</v>
      </c>
      <c r="I23" s="7">
        <v>8200</v>
      </c>
      <c r="J23" s="7">
        <v>262</v>
      </c>
      <c r="K23" s="7">
        <v>180</v>
      </c>
      <c r="L23" s="7"/>
      <c r="M23" s="7"/>
      <c r="N23" s="7">
        <v>1122</v>
      </c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s="4" customFormat="1" x14ac:dyDescent="0.2">
      <c r="A24" s="11">
        <v>266</v>
      </c>
      <c r="B24" s="11" t="s">
        <v>28</v>
      </c>
      <c r="C24" s="11"/>
      <c r="D24" s="12" t="s">
        <v>40</v>
      </c>
      <c r="E24" s="11">
        <v>265</v>
      </c>
      <c r="F24" s="11"/>
      <c r="G24" s="11">
        <v>0.3</v>
      </c>
      <c r="H24" s="11">
        <v>24915</v>
      </c>
      <c r="I24" s="11">
        <v>4583</v>
      </c>
      <c r="J24" s="11">
        <v>169</v>
      </c>
      <c r="K24" s="11">
        <v>184</v>
      </c>
      <c r="L24" s="11"/>
      <c r="M24" s="11"/>
      <c r="N24" s="11">
        <v>176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1:24" s="4" customFormat="1" x14ac:dyDescent="0.2">
      <c r="A25" s="11">
        <v>267</v>
      </c>
      <c r="B25" s="11" t="s">
        <v>29</v>
      </c>
      <c r="C25" s="11"/>
      <c r="D25" s="12" t="s">
        <v>40</v>
      </c>
      <c r="E25" s="11">
        <v>265</v>
      </c>
      <c r="F25" s="11"/>
      <c r="G25" s="11">
        <v>0.3</v>
      </c>
      <c r="H25" s="11">
        <v>24698</v>
      </c>
      <c r="I25" s="11">
        <v>5215</v>
      </c>
      <c r="J25" s="11">
        <v>193</v>
      </c>
      <c r="K25" s="11">
        <v>117</v>
      </c>
      <c r="L25" s="11"/>
      <c r="M25" s="11"/>
      <c r="N25" s="11">
        <v>228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spans="1:24" s="3" customFormat="1" x14ac:dyDescent="0.2">
      <c r="A26" s="13">
        <v>268</v>
      </c>
      <c r="B26" s="13" t="s">
        <v>30</v>
      </c>
      <c r="C26" s="13"/>
      <c r="D26" s="14" t="s">
        <v>41</v>
      </c>
      <c r="E26" s="13">
        <v>965</v>
      </c>
      <c r="F26" s="13"/>
      <c r="G26" s="13">
        <v>0.3</v>
      </c>
      <c r="H26" s="13">
        <v>20548</v>
      </c>
      <c r="I26" s="13">
        <v>16045</v>
      </c>
      <c r="J26" s="13">
        <v>476</v>
      </c>
      <c r="K26" s="13">
        <v>224</v>
      </c>
      <c r="L26" s="13"/>
      <c r="M26" s="13"/>
      <c r="N26" s="13">
        <v>4279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1:24" s="3" customFormat="1" x14ac:dyDescent="0.2">
      <c r="A27" s="13">
        <v>269</v>
      </c>
      <c r="B27" s="13" t="s">
        <v>31</v>
      </c>
      <c r="C27" s="13"/>
      <c r="D27" s="14" t="s">
        <v>41</v>
      </c>
      <c r="E27" s="13">
        <v>965</v>
      </c>
      <c r="F27" s="13"/>
      <c r="G27" s="13">
        <v>0.3</v>
      </c>
      <c r="H27" s="13">
        <v>18656</v>
      </c>
      <c r="I27" s="13">
        <v>24005</v>
      </c>
      <c r="J27" s="13">
        <v>664</v>
      </c>
      <c r="K27" s="13">
        <v>228</v>
      </c>
      <c r="L27" s="13"/>
      <c r="M27" s="13"/>
      <c r="N27" s="13">
        <v>6635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s="3" customFormat="1" x14ac:dyDescent="0.2">
      <c r="A28" s="13">
        <v>272</v>
      </c>
      <c r="B28" s="13" t="s">
        <v>54</v>
      </c>
      <c r="C28" s="13" t="s">
        <v>56</v>
      </c>
      <c r="D28" s="14" t="s">
        <v>41</v>
      </c>
      <c r="E28" s="13">
        <v>965</v>
      </c>
      <c r="F28" s="13"/>
      <c r="G28" s="13">
        <v>0.3</v>
      </c>
      <c r="H28" s="13">
        <v>16313</v>
      </c>
      <c r="I28" s="13">
        <v>33520</v>
      </c>
      <c r="J28" s="13">
        <v>2815</v>
      </c>
      <c r="K28" s="13">
        <v>333</v>
      </c>
      <c r="L28" s="13"/>
      <c r="M28" s="13"/>
      <c r="N28" s="13">
        <v>6043</v>
      </c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spans="1:24" s="3" customFormat="1" x14ac:dyDescent="0.2">
      <c r="A29" s="13">
        <v>273</v>
      </c>
      <c r="B29" s="13" t="s">
        <v>42</v>
      </c>
      <c r="C29" s="13" t="s">
        <v>56</v>
      </c>
      <c r="D29" s="14" t="s">
        <v>41</v>
      </c>
      <c r="E29" s="13">
        <v>965</v>
      </c>
      <c r="F29" s="13"/>
      <c r="G29" s="13">
        <v>0.3</v>
      </c>
      <c r="H29" s="13">
        <v>17216</v>
      </c>
      <c r="I29" s="13">
        <v>30735</v>
      </c>
      <c r="J29" s="13">
        <v>717</v>
      </c>
      <c r="K29" s="13">
        <v>391</v>
      </c>
      <c r="L29" s="13">
        <v>651</v>
      </c>
      <c r="M29" s="13">
        <v>593</v>
      </c>
      <c r="N29" s="13">
        <v>7611</v>
      </c>
      <c r="O29" s="13">
        <v>7239</v>
      </c>
      <c r="P29" s="13">
        <v>4</v>
      </c>
      <c r="Q29" s="13">
        <v>0</v>
      </c>
      <c r="R29" s="13">
        <v>4</v>
      </c>
      <c r="S29" s="13">
        <v>0</v>
      </c>
      <c r="T29" s="13">
        <v>0.52069373275522202</v>
      </c>
      <c r="U29" s="13">
        <v>0.110599078341013</v>
      </c>
      <c r="V29" s="13">
        <v>2851</v>
      </c>
      <c r="W29" s="13">
        <v>386</v>
      </c>
      <c r="X29" s="13"/>
    </row>
    <row r="30" spans="1:24" s="4" customFormat="1" x14ac:dyDescent="0.2">
      <c r="A30" s="26">
        <v>278</v>
      </c>
      <c r="B30" s="26" t="s">
        <v>49</v>
      </c>
      <c r="C30" s="26" t="s">
        <v>56</v>
      </c>
      <c r="D30" s="27" t="s">
        <v>41</v>
      </c>
      <c r="E30" s="26">
        <v>265</v>
      </c>
      <c r="F30" s="26"/>
      <c r="G30" s="26">
        <v>0.3</v>
      </c>
      <c r="H30" s="11">
        <v>12903</v>
      </c>
      <c r="I30" s="11">
        <v>16308</v>
      </c>
      <c r="J30" s="11">
        <v>509</v>
      </c>
      <c r="K30" s="11">
        <v>339</v>
      </c>
      <c r="L30" s="11"/>
      <c r="M30" s="11"/>
      <c r="N30" s="11">
        <v>5848</v>
      </c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 spans="1:24" s="4" customFormat="1" x14ac:dyDescent="0.2">
      <c r="A31" s="26">
        <v>278</v>
      </c>
      <c r="B31" s="26" t="s">
        <v>59</v>
      </c>
      <c r="C31" s="26" t="s">
        <v>56</v>
      </c>
      <c r="D31" s="27" t="s">
        <v>41</v>
      </c>
      <c r="E31" s="26">
        <v>265</v>
      </c>
      <c r="F31" s="26"/>
      <c r="G31" s="26">
        <v>0.3</v>
      </c>
      <c r="H31" s="26">
        <v>16029</v>
      </c>
      <c r="I31" s="26">
        <v>36021</v>
      </c>
      <c r="J31" s="26">
        <v>890</v>
      </c>
      <c r="K31" s="26">
        <v>453</v>
      </c>
      <c r="L31" s="26">
        <v>849</v>
      </c>
      <c r="M31" s="26">
        <v>777</v>
      </c>
      <c r="N31" s="26">
        <v>9325</v>
      </c>
      <c r="O31" s="26">
        <v>9050</v>
      </c>
      <c r="P31" s="26">
        <v>1</v>
      </c>
      <c r="Q31" s="26">
        <v>1</v>
      </c>
      <c r="R31" s="26">
        <v>1</v>
      </c>
      <c r="S31" s="26">
        <v>1</v>
      </c>
      <c r="T31" s="26">
        <v>0.57608579088471801</v>
      </c>
      <c r="U31" s="26">
        <v>0.12838633686690201</v>
      </c>
      <c r="V31" s="26">
        <v>3125</v>
      </c>
      <c r="W31" s="26">
        <v>522</v>
      </c>
      <c r="X31" s="26"/>
    </row>
    <row r="32" spans="1:24" s="4" customFormat="1" x14ac:dyDescent="0.2">
      <c r="A32" s="11">
        <v>279</v>
      </c>
      <c r="B32" s="11" t="s">
        <v>48</v>
      </c>
      <c r="C32" s="11" t="s">
        <v>56</v>
      </c>
      <c r="D32" s="12" t="s">
        <v>41</v>
      </c>
      <c r="E32" s="11">
        <v>265</v>
      </c>
      <c r="F32" s="11"/>
      <c r="G32" s="11">
        <v>0.3</v>
      </c>
      <c r="H32" s="11">
        <v>20178</v>
      </c>
      <c r="I32" s="11">
        <v>17583</v>
      </c>
      <c r="J32" s="11">
        <v>436</v>
      </c>
      <c r="K32" s="11">
        <v>331</v>
      </c>
      <c r="L32" s="11"/>
      <c r="M32" s="11"/>
      <c r="N32" s="11">
        <v>2954</v>
      </c>
      <c r="O32" s="11"/>
      <c r="P32" s="11"/>
      <c r="Q32" s="11"/>
      <c r="R32" s="11"/>
      <c r="S32" s="11"/>
      <c r="T32" s="11"/>
      <c r="U32" s="11">
        <v>0.43161814488828698</v>
      </c>
      <c r="V32" s="11"/>
      <c r="W32" s="11"/>
      <c r="X32" s="11"/>
    </row>
    <row r="33" spans="1:24" s="3" customFormat="1" x14ac:dyDescent="0.2">
      <c r="A33" s="13">
        <v>281</v>
      </c>
      <c r="B33" s="13" t="s">
        <v>43</v>
      </c>
      <c r="C33" s="13" t="s">
        <v>56</v>
      </c>
      <c r="D33" s="14" t="s">
        <v>41</v>
      </c>
      <c r="E33" s="13">
        <v>965</v>
      </c>
      <c r="F33" s="13"/>
      <c r="G33" s="13">
        <v>0.3</v>
      </c>
      <c r="H33" s="13">
        <v>24108</v>
      </c>
      <c r="I33" s="13">
        <v>6536</v>
      </c>
      <c r="J33" s="13">
        <v>142</v>
      </c>
      <c r="K33" s="13">
        <v>52</v>
      </c>
      <c r="L33" s="13"/>
      <c r="M33" s="13"/>
      <c r="N33" s="13">
        <v>126</v>
      </c>
      <c r="O33" s="13"/>
      <c r="P33" s="13"/>
      <c r="Q33" s="13"/>
      <c r="R33" s="13"/>
      <c r="S33" s="13"/>
      <c r="T33" s="13"/>
      <c r="U33" s="13">
        <v>0.53968253968253899</v>
      </c>
      <c r="V33" s="13"/>
      <c r="W33" s="13"/>
      <c r="X33" s="13"/>
    </row>
    <row r="34" spans="1:24" s="3" customFormat="1" x14ac:dyDescent="0.2">
      <c r="A34" s="13">
        <v>282</v>
      </c>
      <c r="B34" s="13" t="s">
        <v>44</v>
      </c>
      <c r="C34" s="13" t="s">
        <v>56</v>
      </c>
      <c r="D34" s="14" t="s">
        <v>41</v>
      </c>
      <c r="E34" s="13">
        <v>965</v>
      </c>
      <c r="F34" s="13"/>
      <c r="G34" s="13">
        <v>0.3</v>
      </c>
      <c r="H34" s="13">
        <v>18594</v>
      </c>
      <c r="I34" s="13">
        <v>24106</v>
      </c>
      <c r="J34" s="13">
        <v>786</v>
      </c>
      <c r="K34" s="13">
        <v>418</v>
      </c>
      <c r="L34" s="13"/>
      <c r="M34" s="13"/>
      <c r="N34" s="13">
        <v>5635</v>
      </c>
      <c r="O34" s="13"/>
      <c r="P34" s="13"/>
      <c r="Q34" s="13"/>
      <c r="R34" s="13"/>
      <c r="S34" s="13"/>
      <c r="T34" s="13"/>
      <c r="U34" s="13">
        <v>0.47435669920141899</v>
      </c>
      <c r="V34" s="13"/>
      <c r="W34" s="13"/>
      <c r="X34" s="13"/>
    </row>
    <row r="35" spans="1:24" s="4" customFormat="1" x14ac:dyDescent="0.2">
      <c r="A35" s="11">
        <v>284</v>
      </c>
      <c r="B35" s="11" t="s">
        <v>47</v>
      </c>
      <c r="C35" s="11" t="s">
        <v>56</v>
      </c>
      <c r="D35" s="12" t="s">
        <v>41</v>
      </c>
      <c r="E35" s="11">
        <v>265</v>
      </c>
      <c r="F35" s="11"/>
      <c r="G35" s="11">
        <v>0.3</v>
      </c>
      <c r="H35" s="11">
        <v>23427</v>
      </c>
      <c r="I35" s="11">
        <v>8330</v>
      </c>
      <c r="J35" s="11">
        <v>24</v>
      </c>
      <c r="K35" s="11">
        <v>79</v>
      </c>
      <c r="L35" s="11"/>
      <c r="M35" s="11"/>
      <c r="N35" s="11">
        <v>113</v>
      </c>
      <c r="O35" s="11"/>
      <c r="P35" s="11"/>
      <c r="Q35" s="11"/>
      <c r="R35" s="11"/>
      <c r="S35" s="11"/>
      <c r="T35" s="11"/>
      <c r="U35" s="11">
        <v>0.734513274336283</v>
      </c>
      <c r="V35" s="11"/>
      <c r="W35" s="11"/>
      <c r="X35" s="11"/>
    </row>
    <row r="36" spans="1:24" s="2" customFormat="1" x14ac:dyDescent="0.2">
      <c r="A36" s="7">
        <v>334</v>
      </c>
      <c r="B36" s="7" t="s">
        <v>58</v>
      </c>
      <c r="C36" s="7" t="s">
        <v>56</v>
      </c>
      <c r="D36" s="8" t="s">
        <v>40</v>
      </c>
      <c r="E36" s="7">
        <v>94</v>
      </c>
      <c r="F36" s="7"/>
      <c r="G36" s="7">
        <v>0.3</v>
      </c>
      <c r="H36" s="7">
        <v>17152</v>
      </c>
      <c r="I36" s="7">
        <v>29403</v>
      </c>
      <c r="J36" s="7">
        <v>2438</v>
      </c>
      <c r="K36" s="7">
        <v>244</v>
      </c>
      <c r="L36" s="7"/>
      <c r="M36" s="7"/>
      <c r="N36" s="7">
        <v>3276</v>
      </c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s="2" customFormat="1" x14ac:dyDescent="0.2">
      <c r="A37" s="7">
        <v>335</v>
      </c>
      <c r="B37" s="7" t="s">
        <v>46</v>
      </c>
      <c r="C37" s="7" t="s">
        <v>56</v>
      </c>
      <c r="D37" s="8" t="s">
        <v>40</v>
      </c>
      <c r="E37" s="7">
        <v>94</v>
      </c>
      <c r="F37" s="7"/>
      <c r="G37" s="7">
        <v>0.3</v>
      </c>
      <c r="H37" s="7">
        <v>21852</v>
      </c>
      <c r="I37" s="7">
        <v>11389</v>
      </c>
      <c r="J37" s="7">
        <v>180</v>
      </c>
      <c r="K37" s="7">
        <v>91</v>
      </c>
      <c r="L37" s="7"/>
      <c r="M37" s="7"/>
      <c r="N37" s="7">
        <v>248</v>
      </c>
      <c r="O37" s="7"/>
      <c r="P37" s="7"/>
      <c r="Q37" s="7"/>
      <c r="R37" s="7"/>
      <c r="S37" s="7"/>
      <c r="T37" s="7"/>
      <c r="U37" s="7">
        <v>0.29838709677419301</v>
      </c>
      <c r="V37" s="7"/>
      <c r="W37" s="7"/>
      <c r="X37" s="7"/>
    </row>
    <row r="38" spans="1:24" s="2" customFormat="1" x14ac:dyDescent="0.2">
      <c r="A38" s="7">
        <v>336</v>
      </c>
      <c r="B38" s="7" t="s">
        <v>57</v>
      </c>
      <c r="C38" s="7" t="s">
        <v>56</v>
      </c>
      <c r="D38" s="8" t="s">
        <v>40</v>
      </c>
      <c r="E38" s="7">
        <v>94</v>
      </c>
      <c r="F38" s="7"/>
      <c r="G38" s="7">
        <v>0.3</v>
      </c>
      <c r="H38" s="7">
        <v>16973</v>
      </c>
      <c r="I38" s="7">
        <v>30473</v>
      </c>
      <c r="J38" s="7">
        <v>1725</v>
      </c>
      <c r="K38" s="7">
        <v>262</v>
      </c>
      <c r="L38" s="7"/>
      <c r="M38" s="7"/>
      <c r="N38" s="7">
        <v>4323</v>
      </c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s="2" customFormat="1" x14ac:dyDescent="0.2">
      <c r="A39" s="7">
        <v>337</v>
      </c>
      <c r="B39" s="7" t="s">
        <v>45</v>
      </c>
      <c r="C39" s="7" t="s">
        <v>56</v>
      </c>
      <c r="D39" s="8" t="s">
        <v>40</v>
      </c>
      <c r="E39" s="7">
        <v>94</v>
      </c>
      <c r="F39" s="7"/>
      <c r="G39" s="7">
        <v>0.3</v>
      </c>
      <c r="H39" s="7">
        <v>22554</v>
      </c>
      <c r="I39" s="7">
        <v>9344</v>
      </c>
      <c r="J39" s="7">
        <v>168</v>
      </c>
      <c r="K39" s="7">
        <v>124</v>
      </c>
      <c r="L39" s="7"/>
      <c r="M39" s="7"/>
      <c r="N39" s="7">
        <v>256</v>
      </c>
      <c r="O39" s="7"/>
      <c r="P39" s="7"/>
      <c r="Q39" s="7"/>
      <c r="R39" s="7"/>
      <c r="S39" s="7"/>
      <c r="T39" s="7"/>
      <c r="U39" s="7">
        <v>0.42578125</v>
      </c>
      <c r="V39" s="7"/>
      <c r="W39" s="7"/>
      <c r="X39" s="7"/>
    </row>
    <row r="40" spans="1:24" s="2" customFormat="1" x14ac:dyDescent="0.2">
      <c r="A40" s="7">
        <v>378</v>
      </c>
      <c r="B40" s="7" t="s">
        <v>61</v>
      </c>
      <c r="C40" s="7" t="s">
        <v>60</v>
      </c>
      <c r="D40" s="8" t="s">
        <v>41</v>
      </c>
      <c r="E40" s="7">
        <v>100</v>
      </c>
      <c r="F40" s="7"/>
      <c r="G40" s="7">
        <v>0.3</v>
      </c>
      <c r="H40" s="7">
        <v>22679</v>
      </c>
      <c r="I40" s="7">
        <v>9540</v>
      </c>
      <c r="J40" s="7">
        <v>342</v>
      </c>
      <c r="K40" s="7">
        <v>317</v>
      </c>
      <c r="L40" s="7">
        <v>330</v>
      </c>
      <c r="M40" s="7">
        <v>302</v>
      </c>
      <c r="N40" s="7">
        <v>1282</v>
      </c>
      <c r="O40" s="7">
        <v>1207</v>
      </c>
      <c r="P40" s="7">
        <v>1</v>
      </c>
      <c r="Q40" s="7">
        <v>0</v>
      </c>
      <c r="R40" s="7">
        <v>1</v>
      </c>
      <c r="S40" s="7">
        <v>0</v>
      </c>
      <c r="T40" s="7">
        <v>0.34321372854914101</v>
      </c>
      <c r="U40" s="7">
        <v>8.7878787878787806E-2</v>
      </c>
      <c r="V40" s="7">
        <v>551</v>
      </c>
      <c r="W40" s="2">
        <v>212</v>
      </c>
      <c r="X40" s="7"/>
    </row>
    <row r="41" spans="1:24" s="4" customFormat="1" x14ac:dyDescent="0.2">
      <c r="A41" s="30"/>
      <c r="B41" s="30"/>
      <c r="C41" s="30"/>
      <c r="D41" s="31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</row>
    <row r="42" spans="1:24" s="23" customFormat="1" x14ac:dyDescent="0.2">
      <c r="A42" s="77" t="s">
        <v>50</v>
      </c>
      <c r="B42" s="78"/>
      <c r="C42" s="28"/>
      <c r="D42" s="24"/>
    </row>
    <row r="43" spans="1:24" x14ac:dyDescent="0.2">
      <c r="A43" s="17">
        <v>270</v>
      </c>
      <c r="B43" s="17" t="s">
        <v>32</v>
      </c>
      <c r="C43" s="17"/>
      <c r="D43" s="18"/>
      <c r="E43" s="17" t="s">
        <v>33</v>
      </c>
      <c r="F43" s="17"/>
      <c r="G43" s="17">
        <v>0.3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spans="1:24" x14ac:dyDescent="0.2">
      <c r="A44" s="5">
        <v>271</v>
      </c>
      <c r="B44" s="5" t="s">
        <v>34</v>
      </c>
      <c r="C44" s="5"/>
      <c r="D44" s="6"/>
      <c r="E44" s="5" t="s">
        <v>33</v>
      </c>
      <c r="F44" s="5"/>
      <c r="G44" s="5">
        <v>0.3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">
      <c r="A45" s="5">
        <v>236</v>
      </c>
      <c r="B45" s="5" t="s">
        <v>35</v>
      </c>
      <c r="C45" s="5"/>
      <c r="D45" s="6"/>
      <c r="E45" s="5" t="s">
        <v>33</v>
      </c>
      <c r="F45" s="5"/>
      <c r="G45" s="5">
        <v>0.3</v>
      </c>
      <c r="H45" s="5">
        <v>24703</v>
      </c>
      <c r="I45" s="5">
        <v>5116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">
      <c r="A46" s="5">
        <v>237</v>
      </c>
      <c r="B46" s="5" t="s">
        <v>36</v>
      </c>
      <c r="C46" s="5"/>
      <c r="D46" s="6"/>
      <c r="E46" s="5" t="s">
        <v>33</v>
      </c>
      <c r="F46" s="5"/>
      <c r="G46" s="5">
        <v>0.3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">
      <c r="A47" s="5">
        <v>244</v>
      </c>
      <c r="B47" s="5" t="s">
        <v>37</v>
      </c>
      <c r="C47" s="5"/>
      <c r="D47" s="6"/>
      <c r="E47" s="5" t="s">
        <v>33</v>
      </c>
      <c r="F47" s="5"/>
      <c r="G47" s="5">
        <v>0.3</v>
      </c>
      <c r="H47" s="5">
        <v>25340</v>
      </c>
      <c r="I47" s="5">
        <v>3892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">
      <c r="A48" s="5">
        <v>245</v>
      </c>
      <c r="B48" s="5" t="s">
        <v>38</v>
      </c>
      <c r="C48" s="5"/>
      <c r="D48" s="6"/>
      <c r="E48" s="5" t="s">
        <v>33</v>
      </c>
      <c r="F48" s="5"/>
      <c r="G48" s="5">
        <v>0.3</v>
      </c>
      <c r="H48" s="5">
        <v>25328</v>
      </c>
      <c r="I48" s="5">
        <v>3929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</sheetData>
  <mergeCells count="3">
    <mergeCell ref="A42:B42"/>
    <mergeCell ref="A21:B21"/>
    <mergeCell ref="A2:B2"/>
  </mergeCells>
  <phoneticPr fontId="3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9424A-E8DB-EF47-9022-2F79CD91F2CF}">
  <dimension ref="A1:AZ40"/>
  <sheetViews>
    <sheetView zoomScale="60" zoomScaleNormal="60" workbookViewId="0">
      <pane ySplit="1" topLeftCell="A2" activePane="bottomLeft" state="frozen"/>
      <selection pane="bottomLeft" activeCell="U16" sqref="U16"/>
    </sheetView>
  </sheetViews>
  <sheetFormatPr baseColWidth="10" defaultRowHeight="16" x14ac:dyDescent="0.2"/>
  <cols>
    <col min="1" max="1" width="17.83203125" customWidth="1"/>
    <col min="2" max="2" width="19.33203125" customWidth="1"/>
    <col min="4" max="4" width="16.33203125" customWidth="1"/>
    <col min="5" max="5" width="18.5" customWidth="1"/>
    <col min="7" max="7" width="16" customWidth="1"/>
    <col min="8" max="8" width="15.33203125" customWidth="1"/>
    <col min="9" max="9" width="12.6640625" customWidth="1"/>
    <col min="10" max="10" width="15.33203125" customWidth="1"/>
    <col min="11" max="11" width="14" customWidth="1"/>
    <col min="12" max="12" width="15.5" customWidth="1"/>
    <col min="13" max="13" width="13" customWidth="1"/>
    <col min="14" max="14" width="19" customWidth="1"/>
    <col min="15" max="15" width="21.33203125" customWidth="1"/>
    <col min="16" max="16" width="17.83203125" customWidth="1"/>
    <col min="17" max="17" width="23.5" customWidth="1"/>
    <col min="18" max="18" width="21.83203125" customWidth="1"/>
    <col min="19" max="19" width="20.33203125" customWidth="1"/>
    <col min="20" max="20" width="22.5" customWidth="1"/>
    <col min="21" max="21" width="19.5" customWidth="1"/>
    <col min="22" max="22" width="18" customWidth="1"/>
    <col min="23" max="23" width="22" customWidth="1"/>
    <col min="24" max="24" width="20.1640625" customWidth="1"/>
    <col min="25" max="25" width="18.1640625" customWidth="1"/>
    <col min="34" max="123" width="11.6640625" customWidth="1"/>
    <col min="124" max="1023" width="12.6640625" customWidth="1"/>
    <col min="1024" max="10023" width="13.6640625" customWidth="1"/>
    <col min="10024" max="16384" width="14.6640625" customWidth="1"/>
  </cols>
  <sheetData>
    <row r="1" spans="1:47" ht="51" x14ac:dyDescent="0.2">
      <c r="A1" s="32" t="s">
        <v>0</v>
      </c>
      <c r="B1" s="32" t="s">
        <v>1</v>
      </c>
      <c r="C1" s="32" t="s">
        <v>76</v>
      </c>
      <c r="D1" s="32" t="s">
        <v>55</v>
      </c>
      <c r="E1" s="32" t="s">
        <v>39</v>
      </c>
      <c r="F1" s="32" t="s">
        <v>2</v>
      </c>
      <c r="G1" s="32" t="s">
        <v>3</v>
      </c>
      <c r="H1" s="32" t="s">
        <v>4</v>
      </c>
      <c r="I1" s="32" t="s">
        <v>5</v>
      </c>
      <c r="J1" s="32" t="s">
        <v>6</v>
      </c>
      <c r="K1" s="32" t="s">
        <v>63</v>
      </c>
      <c r="L1" s="32" t="s">
        <v>62</v>
      </c>
      <c r="M1" s="32" t="s">
        <v>68</v>
      </c>
      <c r="N1" s="32" t="s">
        <v>70</v>
      </c>
      <c r="O1" s="32" t="s">
        <v>65</v>
      </c>
      <c r="P1" s="32" t="s">
        <v>66</v>
      </c>
      <c r="Q1" s="32" t="s">
        <v>71</v>
      </c>
      <c r="R1" s="32" t="s">
        <v>73</v>
      </c>
      <c r="S1" s="32" t="s">
        <v>72</v>
      </c>
      <c r="T1" s="32" t="s">
        <v>74</v>
      </c>
      <c r="U1" s="32" t="s">
        <v>7</v>
      </c>
      <c r="V1" s="32" t="s">
        <v>53</v>
      </c>
      <c r="W1" s="32" t="s">
        <v>67</v>
      </c>
      <c r="X1" s="32" t="s">
        <v>69</v>
      </c>
      <c r="Y1" s="32" t="s">
        <v>82</v>
      </c>
      <c r="Z1" s="32" t="s">
        <v>265</v>
      </c>
      <c r="AA1" s="32" t="s">
        <v>264</v>
      </c>
      <c r="AB1" s="32" t="s">
        <v>267</v>
      </c>
      <c r="AC1" s="32" t="s">
        <v>266</v>
      </c>
    </row>
    <row r="2" spans="1:47" x14ac:dyDescent="0.2">
      <c r="A2" s="33">
        <v>231</v>
      </c>
      <c r="B2" s="33" t="s">
        <v>77</v>
      </c>
      <c r="C2" s="33">
        <v>1</v>
      </c>
      <c r="D2" s="33" t="s">
        <v>64</v>
      </c>
      <c r="E2" s="34" t="s">
        <v>41</v>
      </c>
      <c r="F2" s="33">
        <v>100</v>
      </c>
      <c r="G2" s="33">
        <v>743</v>
      </c>
      <c r="H2" s="33">
        <v>0.3</v>
      </c>
      <c r="I2" s="33">
        <v>19284</v>
      </c>
      <c r="J2" s="33">
        <v>21252</v>
      </c>
      <c r="K2" s="33">
        <v>2462</v>
      </c>
      <c r="L2" s="33">
        <v>1467</v>
      </c>
      <c r="M2" s="33">
        <v>1932</v>
      </c>
      <c r="N2" s="33">
        <v>1630</v>
      </c>
      <c r="O2" s="33">
        <v>3437</v>
      </c>
      <c r="P2" s="33">
        <v>3218</v>
      </c>
      <c r="Q2" s="33">
        <v>104</v>
      </c>
      <c r="R2" s="33">
        <v>18</v>
      </c>
      <c r="S2" s="33">
        <v>7</v>
      </c>
      <c r="T2" s="33">
        <v>0</v>
      </c>
      <c r="U2" s="33">
        <v>0.27698574338085502</v>
      </c>
      <c r="V2" s="33">
        <v>0.114906832298136</v>
      </c>
      <c r="W2" s="33">
        <v>1392</v>
      </c>
      <c r="X2" s="33">
        <v>823</v>
      </c>
      <c r="Y2" s="33">
        <v>0.26216216216216198</v>
      </c>
      <c r="Z2" s="33">
        <v>1997</v>
      </c>
      <c r="AA2" s="33">
        <v>341</v>
      </c>
      <c r="AB2" s="33">
        <v>1463</v>
      </c>
      <c r="AC2" s="33">
        <v>3784</v>
      </c>
    </row>
    <row r="3" spans="1:47" x14ac:dyDescent="0.2">
      <c r="A3" s="35">
        <v>233</v>
      </c>
      <c r="B3" s="35" t="s">
        <v>78</v>
      </c>
      <c r="C3" s="35">
        <v>1</v>
      </c>
      <c r="D3" s="35" t="s">
        <v>64</v>
      </c>
      <c r="E3" s="36" t="s">
        <v>41</v>
      </c>
      <c r="F3" s="35">
        <v>265</v>
      </c>
      <c r="G3" s="35">
        <v>666</v>
      </c>
      <c r="H3" s="35">
        <v>0.3</v>
      </c>
      <c r="I3" s="35">
        <v>19978</v>
      </c>
      <c r="J3" s="35">
        <v>18899</v>
      </c>
      <c r="K3" s="35">
        <v>1862</v>
      </c>
      <c r="L3" s="35">
        <v>1243</v>
      </c>
      <c r="M3" s="35">
        <v>1616</v>
      </c>
      <c r="N3" s="35">
        <v>1409</v>
      </c>
      <c r="O3" s="35">
        <v>2854</v>
      </c>
      <c r="P3" s="35">
        <v>2658</v>
      </c>
      <c r="Q3" s="35">
        <v>1</v>
      </c>
      <c r="R3" s="35">
        <v>28</v>
      </c>
      <c r="S3" s="35">
        <v>2</v>
      </c>
      <c r="T3" s="35">
        <v>1</v>
      </c>
      <c r="U3" s="35">
        <v>0.29572529782760998</v>
      </c>
      <c r="V3" s="35">
        <v>9.4059405940594004E-2</v>
      </c>
      <c r="W3" s="35">
        <v>1129</v>
      </c>
      <c r="X3" s="35">
        <v>757</v>
      </c>
      <c r="Y3" s="35">
        <v>0.21984649122807001</v>
      </c>
      <c r="Z3" s="35">
        <v>1325</v>
      </c>
      <c r="AA3" s="35">
        <v>278</v>
      </c>
      <c r="AB3" s="35">
        <v>1041</v>
      </c>
      <c r="AC3" s="35">
        <v>3122</v>
      </c>
    </row>
    <row r="4" spans="1:47" x14ac:dyDescent="0.2">
      <c r="A4" s="38">
        <v>243</v>
      </c>
      <c r="B4" s="38" t="s">
        <v>79</v>
      </c>
      <c r="C4" s="38">
        <v>1</v>
      </c>
      <c r="D4" s="38" t="s">
        <v>75</v>
      </c>
      <c r="E4" s="39" t="s">
        <v>41</v>
      </c>
      <c r="F4" s="38">
        <v>965</v>
      </c>
      <c r="G4" s="38"/>
      <c r="H4" s="38">
        <v>0.3</v>
      </c>
      <c r="I4" s="38">
        <v>20664</v>
      </c>
      <c r="J4" s="38">
        <v>15893</v>
      </c>
      <c r="K4" s="38">
        <v>505</v>
      </c>
      <c r="L4" s="38">
        <v>319</v>
      </c>
      <c r="M4" s="38">
        <v>477</v>
      </c>
      <c r="N4" s="38">
        <v>405</v>
      </c>
      <c r="O4" s="38">
        <v>1305</v>
      </c>
      <c r="P4" s="38">
        <v>1189</v>
      </c>
      <c r="Q4" s="38">
        <v>1</v>
      </c>
      <c r="R4" s="38">
        <v>7</v>
      </c>
      <c r="S4" s="38">
        <v>0</v>
      </c>
      <c r="T4" s="38">
        <v>0</v>
      </c>
      <c r="U4" s="38">
        <v>0.30727969348659001</v>
      </c>
      <c r="V4" s="38">
        <v>7.7568134171907693E-2</v>
      </c>
      <c r="W4" s="38">
        <v>555</v>
      </c>
      <c r="X4" s="38">
        <v>225</v>
      </c>
      <c r="Y4" s="38">
        <v>0.179226069246435</v>
      </c>
      <c r="Z4" s="38">
        <v>453</v>
      </c>
      <c r="AA4" s="38">
        <v>107</v>
      </c>
      <c r="AB4" s="38">
        <v>386</v>
      </c>
      <c r="AC4" s="38">
        <v>1841</v>
      </c>
    </row>
    <row r="5" spans="1:47" x14ac:dyDescent="0.2">
      <c r="A5" s="38">
        <v>378</v>
      </c>
      <c r="B5" s="38" t="s">
        <v>61</v>
      </c>
      <c r="C5" s="38">
        <v>2</v>
      </c>
      <c r="D5" s="38" t="s">
        <v>60</v>
      </c>
      <c r="E5" s="39" t="s">
        <v>41</v>
      </c>
      <c r="F5" s="38">
        <v>100</v>
      </c>
      <c r="G5" s="38"/>
      <c r="H5" s="38">
        <v>0.3</v>
      </c>
      <c r="I5" s="38">
        <v>22679</v>
      </c>
      <c r="J5" s="38">
        <v>9540</v>
      </c>
      <c r="K5" s="38">
        <v>342</v>
      </c>
      <c r="L5" s="38">
        <v>317</v>
      </c>
      <c r="M5" s="38">
        <v>330</v>
      </c>
      <c r="N5" s="38">
        <v>302</v>
      </c>
      <c r="O5" s="38">
        <v>1282</v>
      </c>
      <c r="P5" s="38">
        <v>1207</v>
      </c>
      <c r="Q5" s="38">
        <v>1</v>
      </c>
      <c r="R5" s="38">
        <v>0</v>
      </c>
      <c r="S5" s="38">
        <v>1</v>
      </c>
      <c r="T5" s="38">
        <v>0</v>
      </c>
      <c r="U5" s="38">
        <v>0.34321372854914101</v>
      </c>
      <c r="V5" s="38">
        <v>8.7878787878787806E-2</v>
      </c>
      <c r="W5" s="38">
        <v>551</v>
      </c>
      <c r="X5" s="38">
        <v>212</v>
      </c>
      <c r="Y5" s="38">
        <v>0.25954198473282403</v>
      </c>
      <c r="Z5" s="38">
        <v>322</v>
      </c>
      <c r="AA5" s="38">
        <v>122</v>
      </c>
      <c r="AB5" s="38">
        <v>292</v>
      </c>
      <c r="AC5" s="38">
        <v>1476</v>
      </c>
    </row>
    <row r="6" spans="1:47" x14ac:dyDescent="0.2">
      <c r="A6" s="35">
        <v>278</v>
      </c>
      <c r="B6" s="35" t="s">
        <v>49</v>
      </c>
      <c r="C6" s="35">
        <v>2</v>
      </c>
      <c r="D6" s="35" t="s">
        <v>56</v>
      </c>
      <c r="E6" s="36" t="s">
        <v>41</v>
      </c>
      <c r="F6" s="35">
        <v>265</v>
      </c>
      <c r="G6" s="35"/>
      <c r="H6" s="35">
        <v>0.3</v>
      </c>
      <c r="I6" s="35">
        <v>16029</v>
      </c>
      <c r="J6" s="35">
        <v>36021</v>
      </c>
      <c r="K6" s="35">
        <v>890</v>
      </c>
      <c r="L6" s="35">
        <v>453</v>
      </c>
      <c r="M6" s="35">
        <v>849</v>
      </c>
      <c r="N6" s="35">
        <v>777</v>
      </c>
      <c r="O6" s="35">
        <v>9325</v>
      </c>
      <c r="P6" s="35">
        <v>9050</v>
      </c>
      <c r="Q6" s="35">
        <v>1</v>
      </c>
      <c r="R6" s="35">
        <v>1</v>
      </c>
      <c r="S6" s="35">
        <v>1</v>
      </c>
      <c r="T6" s="35">
        <v>1</v>
      </c>
      <c r="U6" s="35">
        <v>0.57608579088471801</v>
      </c>
      <c r="V6" s="35">
        <v>0.12838633686690201</v>
      </c>
      <c r="W6" s="35">
        <v>3125</v>
      </c>
      <c r="X6" s="35">
        <v>522</v>
      </c>
      <c r="Y6" s="35">
        <v>0.23578076525336</v>
      </c>
      <c r="Z6" s="35">
        <v>806</v>
      </c>
      <c r="AA6" s="35">
        <v>226</v>
      </c>
      <c r="AB6" s="35">
        <v>738</v>
      </c>
      <c r="AC6" s="35">
        <v>12235</v>
      </c>
    </row>
    <row r="7" spans="1:47" x14ac:dyDescent="0.2">
      <c r="A7" s="40">
        <v>273</v>
      </c>
      <c r="B7" s="40" t="s">
        <v>42</v>
      </c>
      <c r="C7" s="40">
        <v>2</v>
      </c>
      <c r="D7" s="40" t="s">
        <v>56</v>
      </c>
      <c r="E7" s="41" t="s">
        <v>41</v>
      </c>
      <c r="F7" s="40">
        <v>965</v>
      </c>
      <c r="G7" s="40"/>
      <c r="H7" s="40">
        <v>0.3</v>
      </c>
      <c r="I7" s="40">
        <v>17216</v>
      </c>
      <c r="J7" s="40">
        <v>30735</v>
      </c>
      <c r="K7" s="40">
        <v>717</v>
      </c>
      <c r="L7" s="40">
        <v>391</v>
      </c>
      <c r="M7" s="40">
        <v>651</v>
      </c>
      <c r="N7" s="40">
        <v>593</v>
      </c>
      <c r="O7" s="40">
        <v>7611</v>
      </c>
      <c r="P7" s="40">
        <v>7239</v>
      </c>
      <c r="Q7" s="40">
        <v>4</v>
      </c>
      <c r="R7" s="40">
        <v>0</v>
      </c>
      <c r="S7" s="40">
        <v>4</v>
      </c>
      <c r="T7" s="40">
        <v>0</v>
      </c>
      <c r="U7" s="40">
        <v>0.52069373275522202</v>
      </c>
      <c r="V7" s="40">
        <v>0.110599078341013</v>
      </c>
      <c r="W7" s="40">
        <v>2851</v>
      </c>
      <c r="X7" s="40">
        <v>386</v>
      </c>
      <c r="Y7" s="40">
        <v>0.206611570247933</v>
      </c>
      <c r="Z7" s="40">
        <v>751</v>
      </c>
      <c r="AA7" s="40">
        <v>200</v>
      </c>
      <c r="AB7" s="40">
        <v>632</v>
      </c>
      <c r="AC7" s="40">
        <v>10532</v>
      </c>
    </row>
    <row r="8" spans="1:47" x14ac:dyDescent="0.2">
      <c r="C8" s="37">
        <v>3</v>
      </c>
      <c r="D8">
        <v>1.5</v>
      </c>
      <c r="AK8" t="s">
        <v>268</v>
      </c>
      <c r="AU8" t="s">
        <v>269</v>
      </c>
    </row>
    <row r="9" spans="1:47" x14ac:dyDescent="0.2">
      <c r="C9" s="37">
        <v>3</v>
      </c>
      <c r="D9">
        <v>1.5</v>
      </c>
    </row>
    <row r="10" spans="1:47" x14ac:dyDescent="0.2">
      <c r="C10" s="37">
        <v>3</v>
      </c>
      <c r="D10">
        <v>1.5</v>
      </c>
    </row>
    <row r="11" spans="1:47" x14ac:dyDescent="0.2">
      <c r="C11" s="37">
        <v>4</v>
      </c>
    </row>
    <row r="12" spans="1:47" x14ac:dyDescent="0.2">
      <c r="C12" s="37">
        <v>4</v>
      </c>
    </row>
    <row r="13" spans="1:47" x14ac:dyDescent="0.2">
      <c r="C13" s="37">
        <v>4</v>
      </c>
    </row>
    <row r="14" spans="1:47" x14ac:dyDescent="0.2">
      <c r="C14" s="37">
        <v>5</v>
      </c>
    </row>
    <row r="15" spans="1:47" x14ac:dyDescent="0.2">
      <c r="C15" s="37">
        <v>5</v>
      </c>
    </row>
    <row r="16" spans="1:47" x14ac:dyDescent="0.2">
      <c r="C16" s="37">
        <v>5</v>
      </c>
    </row>
    <row r="38" spans="40:52" x14ac:dyDescent="0.2">
      <c r="AN38" t="s">
        <v>298</v>
      </c>
    </row>
    <row r="39" spans="40:52" x14ac:dyDescent="0.2">
      <c r="AZ39" t="s">
        <v>297</v>
      </c>
    </row>
    <row r="40" spans="40:52" x14ac:dyDescent="0.2">
      <c r="AN40" t="s">
        <v>296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5216B-0E1E-9546-84BE-841503506BCF}">
  <dimension ref="A1:P11"/>
  <sheetViews>
    <sheetView workbookViewId="0">
      <selection activeCell="F7" sqref="F7"/>
    </sheetView>
  </sheetViews>
  <sheetFormatPr baseColWidth="10" defaultRowHeight="16" x14ac:dyDescent="0.2"/>
  <cols>
    <col min="3" max="3" width="20.83203125" customWidth="1"/>
    <col min="4" max="8" width="10.83203125" customWidth="1"/>
    <col min="9" max="9" width="15.1640625" customWidth="1"/>
    <col min="10" max="10" width="10.83203125" customWidth="1"/>
    <col min="11" max="11" width="17.83203125" customWidth="1"/>
    <col min="12" max="12" width="18.83203125" customWidth="1"/>
    <col min="14" max="22" width="10.83203125" customWidth="1"/>
  </cols>
  <sheetData>
    <row r="1" spans="1:16" ht="85" x14ac:dyDescent="0.2">
      <c r="A1" s="52" t="s">
        <v>270</v>
      </c>
      <c r="B1" s="52" t="s">
        <v>2</v>
      </c>
      <c r="C1" s="52" t="s">
        <v>277</v>
      </c>
      <c r="D1" s="52" t="s">
        <v>279</v>
      </c>
      <c r="E1" s="52" t="s">
        <v>73</v>
      </c>
      <c r="F1" s="52" t="s">
        <v>72</v>
      </c>
      <c r="G1" s="52" t="s">
        <v>74</v>
      </c>
      <c r="H1" s="5"/>
      <c r="I1" s="52" t="s">
        <v>270</v>
      </c>
      <c r="J1" s="52" t="s">
        <v>2</v>
      </c>
      <c r="K1" s="52" t="s">
        <v>277</v>
      </c>
      <c r="L1" s="52" t="s">
        <v>278</v>
      </c>
      <c r="M1" s="52" t="s">
        <v>281</v>
      </c>
      <c r="N1" s="52"/>
      <c r="O1" s="52"/>
      <c r="P1" s="52"/>
    </row>
    <row r="2" spans="1:16" x14ac:dyDescent="0.2">
      <c r="A2" s="53" t="s">
        <v>271</v>
      </c>
      <c r="B2" s="53">
        <v>100</v>
      </c>
      <c r="C2" s="53">
        <f>139+66</f>
        <v>205</v>
      </c>
      <c r="D2" s="53">
        <v>104</v>
      </c>
      <c r="E2" s="53">
        <v>18</v>
      </c>
      <c r="F2" s="53">
        <v>7</v>
      </c>
      <c r="G2" s="53">
        <v>0</v>
      </c>
      <c r="H2" s="5"/>
      <c r="I2" s="53" t="s">
        <v>271</v>
      </c>
      <c r="J2" s="53">
        <v>100</v>
      </c>
      <c r="K2" s="53">
        <f>139+66</f>
        <v>205</v>
      </c>
      <c r="L2" s="53">
        <f>D2+F2</f>
        <v>111</v>
      </c>
      <c r="M2" s="53">
        <v>22</v>
      </c>
      <c r="N2" s="53"/>
      <c r="O2" s="53"/>
      <c r="P2" s="53"/>
    </row>
    <row r="3" spans="1:16" x14ac:dyDescent="0.2">
      <c r="A3" s="54" t="s">
        <v>272</v>
      </c>
      <c r="B3" s="54">
        <v>265</v>
      </c>
      <c r="C3" s="54">
        <f>1+3</f>
        <v>4</v>
      </c>
      <c r="D3" s="54">
        <v>1</v>
      </c>
      <c r="E3" s="54">
        <v>28</v>
      </c>
      <c r="F3" s="54">
        <v>2</v>
      </c>
      <c r="G3" s="54">
        <v>1</v>
      </c>
      <c r="H3" s="5"/>
      <c r="I3" s="54" t="s">
        <v>272</v>
      </c>
      <c r="J3" s="54">
        <v>265</v>
      </c>
      <c r="K3" s="54">
        <f>1+3</f>
        <v>4</v>
      </c>
      <c r="L3" s="54">
        <f t="shared" ref="L3:L7" si="0">D3+F3</f>
        <v>3</v>
      </c>
      <c r="M3" s="54">
        <v>19</v>
      </c>
      <c r="N3" s="54"/>
      <c r="O3" s="54"/>
      <c r="P3" s="54"/>
    </row>
    <row r="4" spans="1:16" x14ac:dyDescent="0.2">
      <c r="A4" s="53" t="s">
        <v>273</v>
      </c>
      <c r="B4" s="53">
        <v>965</v>
      </c>
      <c r="C4" s="53">
        <f>25+28</f>
        <v>53</v>
      </c>
      <c r="D4" s="53">
        <v>1</v>
      </c>
      <c r="E4" s="53">
        <v>7</v>
      </c>
      <c r="F4" s="53">
        <v>0</v>
      </c>
      <c r="G4" s="53">
        <v>0</v>
      </c>
      <c r="H4" s="5"/>
      <c r="I4" s="53" t="s">
        <v>273</v>
      </c>
      <c r="J4" s="53">
        <v>965</v>
      </c>
      <c r="K4" s="53">
        <f>25+28</f>
        <v>53</v>
      </c>
      <c r="L4" s="53">
        <f t="shared" si="0"/>
        <v>1</v>
      </c>
      <c r="M4" s="53">
        <v>11</v>
      </c>
      <c r="N4" s="53"/>
      <c r="O4" s="53"/>
      <c r="P4" s="53"/>
    </row>
    <row r="5" spans="1:16" s="42" customFormat="1" x14ac:dyDescent="0.2">
      <c r="A5" s="55" t="s">
        <v>274</v>
      </c>
      <c r="B5" s="55">
        <v>100</v>
      </c>
      <c r="C5" s="55">
        <f>0+1</f>
        <v>1</v>
      </c>
      <c r="D5" s="55">
        <v>1</v>
      </c>
      <c r="E5" s="55">
        <v>0</v>
      </c>
      <c r="F5" s="55">
        <v>1</v>
      </c>
      <c r="G5" s="55">
        <v>0</v>
      </c>
      <c r="H5" s="43"/>
      <c r="I5" s="55" t="s">
        <v>274</v>
      </c>
      <c r="J5" s="55">
        <v>100</v>
      </c>
      <c r="K5" s="55">
        <f>0+1</f>
        <v>1</v>
      </c>
      <c r="L5" s="55">
        <f t="shared" si="0"/>
        <v>2</v>
      </c>
      <c r="M5" s="55">
        <v>20</v>
      </c>
      <c r="N5" s="55"/>
      <c r="O5" s="55"/>
      <c r="P5" s="55"/>
    </row>
    <row r="6" spans="1:16" s="2" customFormat="1" x14ac:dyDescent="0.2">
      <c r="A6" s="53" t="s">
        <v>275</v>
      </c>
      <c r="B6" s="53">
        <v>265</v>
      </c>
      <c r="C6" s="53">
        <f>0+1</f>
        <v>1</v>
      </c>
      <c r="D6" s="53">
        <v>1</v>
      </c>
      <c r="E6" s="53">
        <v>1</v>
      </c>
      <c r="F6" s="53">
        <v>1</v>
      </c>
      <c r="G6" s="53">
        <v>1</v>
      </c>
      <c r="H6" s="43"/>
      <c r="I6" s="53" t="s">
        <v>275</v>
      </c>
      <c r="J6" s="53">
        <v>265</v>
      </c>
      <c r="K6" s="53">
        <f>0+1</f>
        <v>1</v>
      </c>
      <c r="L6" s="53">
        <f t="shared" si="0"/>
        <v>2</v>
      </c>
      <c r="M6" s="53">
        <v>59</v>
      </c>
      <c r="N6" s="53"/>
      <c r="O6" s="53"/>
      <c r="P6" s="53"/>
    </row>
    <row r="7" spans="1:16" x14ac:dyDescent="0.2">
      <c r="A7" s="54" t="s">
        <v>276</v>
      </c>
      <c r="B7" s="54">
        <v>965</v>
      </c>
      <c r="C7" s="54">
        <f>60+35</f>
        <v>95</v>
      </c>
      <c r="D7" s="54">
        <v>4</v>
      </c>
      <c r="E7" s="54">
        <v>0</v>
      </c>
      <c r="F7" s="54">
        <v>4</v>
      </c>
      <c r="G7" s="54">
        <v>0</v>
      </c>
      <c r="H7" s="5"/>
      <c r="I7" s="54" t="s">
        <v>276</v>
      </c>
      <c r="J7" s="54">
        <v>965</v>
      </c>
      <c r="K7" s="54">
        <f>60+35</f>
        <v>95</v>
      </c>
      <c r="L7" s="54">
        <f t="shared" si="0"/>
        <v>8</v>
      </c>
      <c r="M7" s="54">
        <v>55</v>
      </c>
      <c r="N7" s="54"/>
      <c r="O7" s="54"/>
      <c r="P7" s="54"/>
    </row>
    <row r="11" spans="1:16" x14ac:dyDescent="0.2">
      <c r="C11" t="s">
        <v>280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2597F-00FC-2747-818C-02A770F25ADC}">
  <dimension ref="A1:D8"/>
  <sheetViews>
    <sheetView workbookViewId="0">
      <selection activeCell="C4" sqref="C4"/>
    </sheetView>
  </sheetViews>
  <sheetFormatPr baseColWidth="10" defaultRowHeight="16" x14ac:dyDescent="0.2"/>
  <cols>
    <col min="1" max="1" width="16.83203125" customWidth="1"/>
    <col min="2" max="3" width="21.5" customWidth="1"/>
    <col min="4" max="4" width="19.83203125" customWidth="1"/>
  </cols>
  <sheetData>
    <row r="1" spans="1:4" s="49" customFormat="1" ht="17" x14ac:dyDescent="0.2">
      <c r="A1" s="48" t="s">
        <v>0</v>
      </c>
      <c r="B1" s="48" t="s">
        <v>1</v>
      </c>
      <c r="C1" s="49" t="s">
        <v>81</v>
      </c>
      <c r="D1" s="49" t="s">
        <v>80</v>
      </c>
    </row>
    <row r="2" spans="1:4" s="50" customFormat="1" x14ac:dyDescent="0.2">
      <c r="A2" s="50">
        <v>231</v>
      </c>
      <c r="B2" s="50" t="s">
        <v>77</v>
      </c>
      <c r="C2" s="50">
        <v>1082</v>
      </c>
      <c r="D2" s="50">
        <v>311</v>
      </c>
    </row>
    <row r="3" spans="1:4" s="50" customFormat="1" x14ac:dyDescent="0.2">
      <c r="A3" s="50">
        <v>233</v>
      </c>
      <c r="B3" s="50" t="s">
        <v>78</v>
      </c>
      <c r="C3" s="50">
        <v>979</v>
      </c>
      <c r="D3" s="50">
        <v>303</v>
      </c>
    </row>
    <row r="4" spans="1:4" s="50" customFormat="1" x14ac:dyDescent="0.2">
      <c r="A4" s="50">
        <v>243</v>
      </c>
      <c r="B4" s="50" t="s">
        <v>79</v>
      </c>
      <c r="C4" s="50">
        <v>2794</v>
      </c>
      <c r="D4" s="50">
        <v>186</v>
      </c>
    </row>
    <row r="5" spans="1:4" s="50" customFormat="1" x14ac:dyDescent="0.2">
      <c r="A5" s="50">
        <v>378</v>
      </c>
      <c r="B5" s="50" t="s">
        <v>61</v>
      </c>
      <c r="C5" s="50">
        <v>9</v>
      </c>
      <c r="D5" s="50">
        <v>2</v>
      </c>
    </row>
    <row r="6" spans="1:4" s="50" customFormat="1" x14ac:dyDescent="0.2">
      <c r="A6" s="50">
        <v>278</v>
      </c>
      <c r="B6" s="50" t="s">
        <v>49</v>
      </c>
      <c r="C6" s="50">
        <v>116</v>
      </c>
      <c r="D6" s="50">
        <v>6</v>
      </c>
    </row>
    <row r="7" spans="1:4" s="50" customFormat="1" x14ac:dyDescent="0.2">
      <c r="A7" s="50">
        <v>273</v>
      </c>
      <c r="B7" s="50" t="s">
        <v>42</v>
      </c>
      <c r="C7" s="50">
        <v>7667</v>
      </c>
      <c r="D7" s="50">
        <v>457</v>
      </c>
    </row>
    <row r="8" spans="1:4" s="51" customFormat="1" x14ac:dyDescent="0.2"/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BDBF-1CE0-DB47-A647-E890A9B7CE9F}">
  <dimension ref="A1:V515"/>
  <sheetViews>
    <sheetView tabSelected="1" topLeftCell="G3" workbookViewId="0">
      <selection activeCell="T18" sqref="T18:V18"/>
    </sheetView>
  </sheetViews>
  <sheetFormatPr baseColWidth="10" defaultRowHeight="16" x14ac:dyDescent="0.2"/>
  <cols>
    <col min="9" max="9" width="19.5" customWidth="1"/>
  </cols>
  <sheetData>
    <row r="1" spans="1:22" x14ac:dyDescent="0.2">
      <c r="A1" t="s">
        <v>234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  <c r="H1" t="s">
        <v>241</v>
      </c>
      <c r="I1" t="s">
        <v>242</v>
      </c>
      <c r="J1" t="s">
        <v>258</v>
      </c>
      <c r="K1" t="s">
        <v>259</v>
      </c>
      <c r="L1" t="s">
        <v>260</v>
      </c>
      <c r="M1" t="s">
        <v>261</v>
      </c>
      <c r="N1" t="s">
        <v>262</v>
      </c>
      <c r="O1" t="s">
        <v>263</v>
      </c>
      <c r="P1" t="s">
        <v>243</v>
      </c>
      <c r="Q1" t="s">
        <v>252</v>
      </c>
      <c r="R1" t="s">
        <v>253</v>
      </c>
      <c r="S1" t="s">
        <v>254</v>
      </c>
      <c r="T1" t="s">
        <v>255</v>
      </c>
      <c r="U1" t="s">
        <v>256</v>
      </c>
      <c r="V1" t="s">
        <v>257</v>
      </c>
    </row>
    <row r="2" spans="1:22" x14ac:dyDescent="0.2">
      <c r="A2" t="s">
        <v>117</v>
      </c>
      <c r="B2" t="s">
        <v>84</v>
      </c>
      <c r="C2" t="s">
        <v>117</v>
      </c>
      <c r="D2" t="s">
        <v>117</v>
      </c>
      <c r="E2" t="s">
        <v>83</v>
      </c>
      <c r="F2" t="s">
        <v>83</v>
      </c>
      <c r="G2">
        <v>0.27698574338085502</v>
      </c>
      <c r="H2">
        <v>0.114906832298136</v>
      </c>
      <c r="I2" t="s">
        <v>227</v>
      </c>
      <c r="J2">
        <f t="shared" ref="J2:O2" si="0">COUNTIF(A:A, "*Carbamidomethylation*")</f>
        <v>107</v>
      </c>
      <c r="K2">
        <f t="shared" si="0"/>
        <v>93</v>
      </c>
      <c r="L2">
        <f t="shared" si="0"/>
        <v>14</v>
      </c>
      <c r="M2">
        <f t="shared" si="0"/>
        <v>15</v>
      </c>
      <c r="N2">
        <f t="shared" si="0"/>
        <v>44</v>
      </c>
      <c r="O2">
        <f t="shared" si="0"/>
        <v>28</v>
      </c>
      <c r="P2" t="s">
        <v>86</v>
      </c>
      <c r="Q2">
        <f>J2/$J$40</f>
        <v>0.13806451612903226</v>
      </c>
      <c r="R2">
        <f>K2/$K$40</f>
        <v>0.16878402903811252</v>
      </c>
      <c r="S2">
        <f>L2/$L$40</f>
        <v>0.13207547169811321</v>
      </c>
      <c r="T2">
        <f>M2/$M$40</f>
        <v>0.11538461538461539</v>
      </c>
      <c r="U2">
        <f>N2/$N$40</f>
        <v>0.14102564102564102</v>
      </c>
      <c r="V2">
        <f>O2/$O$40</f>
        <v>0.13793103448275862</v>
      </c>
    </row>
    <row r="3" spans="1:22" x14ac:dyDescent="0.2">
      <c r="A3" t="s">
        <v>86</v>
      </c>
      <c r="B3" t="s">
        <v>117</v>
      </c>
      <c r="C3" t="s">
        <v>84</v>
      </c>
      <c r="D3" t="s">
        <v>83</v>
      </c>
      <c r="E3" t="s">
        <v>83</v>
      </c>
      <c r="F3" t="s">
        <v>83</v>
      </c>
      <c r="G3">
        <v>0.29572529782760998</v>
      </c>
      <c r="H3">
        <v>9.4059405940594004E-2</v>
      </c>
      <c r="I3" t="s">
        <v>226</v>
      </c>
      <c r="J3">
        <f t="shared" ref="J3:O3" si="1">COUNTIF(A:A, "*Oxidation*")</f>
        <v>117</v>
      </c>
      <c r="K3">
        <f t="shared" si="1"/>
        <v>57</v>
      </c>
      <c r="L3">
        <f t="shared" si="1"/>
        <v>17</v>
      </c>
      <c r="M3">
        <f t="shared" si="1"/>
        <v>17</v>
      </c>
      <c r="N3">
        <f t="shared" si="1"/>
        <v>60</v>
      </c>
      <c r="O3">
        <f t="shared" si="1"/>
        <v>41</v>
      </c>
      <c r="P3" t="s">
        <v>244</v>
      </c>
      <c r="Q3">
        <f t="shared" ref="Q3:Q39" si="2">J3/$J$40</f>
        <v>0.15096774193548387</v>
      </c>
      <c r="R3">
        <f t="shared" ref="R3:R39" si="3">K3/$K$40</f>
        <v>0.10344827586206896</v>
      </c>
      <c r="S3">
        <f t="shared" ref="S3:S39" si="4">L3/$L$40</f>
        <v>0.16037735849056603</v>
      </c>
      <c r="T3">
        <f t="shared" ref="T3:T39" si="5">M3/$M$40</f>
        <v>0.13076923076923078</v>
      </c>
      <c r="U3">
        <f t="shared" ref="U3:U39" si="6">N3/$N$40</f>
        <v>0.19230769230769232</v>
      </c>
      <c r="V3">
        <f t="shared" ref="V3:V39" si="7">O3/$O$40</f>
        <v>0.2019704433497537</v>
      </c>
    </row>
    <row r="4" spans="1:22" x14ac:dyDescent="0.2">
      <c r="A4" t="s">
        <v>96</v>
      </c>
      <c r="B4" t="s">
        <v>115</v>
      </c>
      <c r="C4" t="s">
        <v>83</v>
      </c>
      <c r="D4" t="s">
        <v>84</v>
      </c>
      <c r="E4" t="s">
        <v>84</v>
      </c>
      <c r="F4" t="s">
        <v>88</v>
      </c>
      <c r="G4">
        <v>0.30727969348659001</v>
      </c>
      <c r="H4">
        <v>7.7568134171907693E-2</v>
      </c>
      <c r="I4" t="s">
        <v>192</v>
      </c>
      <c r="J4">
        <f t="shared" ref="J4:O4" si="8">COUNTIF(A:A, "*Deamidation*")</f>
        <v>52</v>
      </c>
      <c r="K4">
        <f t="shared" si="8"/>
        <v>56</v>
      </c>
      <c r="L4">
        <f t="shared" si="8"/>
        <v>10</v>
      </c>
      <c r="M4">
        <f t="shared" si="8"/>
        <v>7</v>
      </c>
      <c r="N4">
        <f t="shared" si="8"/>
        <v>9</v>
      </c>
      <c r="O4">
        <f t="shared" si="8"/>
        <v>11</v>
      </c>
      <c r="P4" t="s">
        <v>245</v>
      </c>
      <c r="Q4">
        <f t="shared" si="2"/>
        <v>6.7096774193548384E-2</v>
      </c>
      <c r="R4">
        <f t="shared" si="3"/>
        <v>0.10163339382940109</v>
      </c>
      <c r="S4">
        <f t="shared" si="4"/>
        <v>9.4339622641509441E-2</v>
      </c>
      <c r="T4">
        <f t="shared" si="5"/>
        <v>5.3846153846153849E-2</v>
      </c>
      <c r="U4">
        <f t="shared" si="6"/>
        <v>2.8846153846153848E-2</v>
      </c>
      <c r="V4">
        <f t="shared" si="7"/>
        <v>5.4187192118226604E-2</v>
      </c>
    </row>
    <row r="5" spans="1:22" x14ac:dyDescent="0.2">
      <c r="A5" t="s">
        <v>83</v>
      </c>
      <c r="B5" t="s">
        <v>83</v>
      </c>
      <c r="C5" t="s">
        <v>117</v>
      </c>
      <c r="D5" t="s">
        <v>118</v>
      </c>
      <c r="E5" t="s">
        <v>85</v>
      </c>
      <c r="F5" t="s">
        <v>84</v>
      </c>
      <c r="G5">
        <v>0.34321372854914101</v>
      </c>
      <c r="H5">
        <v>8.7878787878787806E-2</v>
      </c>
      <c r="I5" t="s">
        <v>193</v>
      </c>
      <c r="J5">
        <f t="shared" ref="J5:O5" si="9">COUNTIF(A:A, "*Acetylation*")</f>
        <v>16</v>
      </c>
      <c r="K5">
        <f t="shared" si="9"/>
        <v>12</v>
      </c>
      <c r="L5">
        <f t="shared" si="9"/>
        <v>1</v>
      </c>
      <c r="M5">
        <f t="shared" si="9"/>
        <v>3</v>
      </c>
      <c r="N5">
        <f t="shared" si="9"/>
        <v>1</v>
      </c>
      <c r="O5">
        <f t="shared" si="9"/>
        <v>2</v>
      </c>
      <c r="P5" t="s">
        <v>246</v>
      </c>
      <c r="Q5">
        <f t="shared" si="2"/>
        <v>2.0645161290322581E-2</v>
      </c>
      <c r="R5">
        <f t="shared" si="3"/>
        <v>2.1778584392014518E-2</v>
      </c>
      <c r="S5">
        <f t="shared" si="4"/>
        <v>9.433962264150943E-3</v>
      </c>
      <c r="T5">
        <f t="shared" si="5"/>
        <v>2.3076923076923078E-2</v>
      </c>
      <c r="U5">
        <f t="shared" si="6"/>
        <v>3.205128205128205E-3</v>
      </c>
      <c r="V5">
        <f t="shared" si="7"/>
        <v>9.852216748768473E-3</v>
      </c>
    </row>
    <row r="6" spans="1:22" x14ac:dyDescent="0.2">
      <c r="A6" t="s">
        <v>84</v>
      </c>
      <c r="B6" t="s">
        <v>83</v>
      </c>
      <c r="C6" t="s">
        <v>140</v>
      </c>
      <c r="D6" t="s">
        <v>88</v>
      </c>
      <c r="E6" t="s">
        <v>85</v>
      </c>
      <c r="F6" t="s">
        <v>83</v>
      </c>
      <c r="G6">
        <v>0.57608579088471801</v>
      </c>
      <c r="H6">
        <v>0.12838633686690201</v>
      </c>
      <c r="I6" t="s">
        <v>194</v>
      </c>
      <c r="J6">
        <f t="shared" ref="J6:O6" si="10">COUNTIF(A:A, "*Ubiquitination*")+J21</f>
        <v>2</v>
      </c>
      <c r="K6">
        <f t="shared" si="10"/>
        <v>1</v>
      </c>
      <c r="L6">
        <f t="shared" si="10"/>
        <v>0</v>
      </c>
      <c r="M6">
        <f t="shared" si="10"/>
        <v>0</v>
      </c>
      <c r="N6">
        <f t="shared" si="10"/>
        <v>0</v>
      </c>
      <c r="O6">
        <f t="shared" si="10"/>
        <v>0</v>
      </c>
      <c r="P6" t="s">
        <v>247</v>
      </c>
      <c r="Q6">
        <f t="shared" si="2"/>
        <v>2.5806451612903226E-3</v>
      </c>
      <c r="R6">
        <f t="shared" si="3"/>
        <v>1.8148820326678765E-3</v>
      </c>
      <c r="S6">
        <f t="shared" si="4"/>
        <v>0</v>
      </c>
      <c r="T6">
        <f t="shared" si="5"/>
        <v>0</v>
      </c>
      <c r="U6">
        <f t="shared" si="6"/>
        <v>0</v>
      </c>
      <c r="V6">
        <f t="shared" si="7"/>
        <v>0</v>
      </c>
    </row>
    <row r="7" spans="1:22" x14ac:dyDescent="0.2">
      <c r="A7" t="s">
        <v>101</v>
      </c>
      <c r="B7" t="s">
        <v>83</v>
      </c>
      <c r="C7" t="s">
        <v>86</v>
      </c>
      <c r="D7" t="s">
        <v>83</v>
      </c>
      <c r="E7" t="s">
        <v>86</v>
      </c>
      <c r="F7" t="s">
        <v>131</v>
      </c>
      <c r="G7">
        <v>0.52069373275522202</v>
      </c>
      <c r="H7">
        <v>0.110599078341013</v>
      </c>
      <c r="I7" t="s">
        <v>195</v>
      </c>
      <c r="J7">
        <f t="shared" ref="J7:O7" si="11">COUNTIF(A:A, "*Dehydration*")</f>
        <v>8</v>
      </c>
      <c r="K7">
        <f t="shared" si="11"/>
        <v>9</v>
      </c>
      <c r="L7">
        <f t="shared" si="11"/>
        <v>4</v>
      </c>
      <c r="M7">
        <f t="shared" si="11"/>
        <v>5</v>
      </c>
      <c r="N7">
        <f t="shared" si="11"/>
        <v>9</v>
      </c>
      <c r="O7">
        <f t="shared" si="11"/>
        <v>7</v>
      </c>
      <c r="P7" t="s">
        <v>87</v>
      </c>
      <c r="Q7">
        <f t="shared" si="2"/>
        <v>1.032258064516129E-2</v>
      </c>
      <c r="R7">
        <f t="shared" si="3"/>
        <v>1.6333938294010888E-2</v>
      </c>
      <c r="S7">
        <f t="shared" si="4"/>
        <v>3.7735849056603772E-2</v>
      </c>
      <c r="T7">
        <f t="shared" si="5"/>
        <v>3.8461538461538464E-2</v>
      </c>
      <c r="U7">
        <f t="shared" si="6"/>
        <v>2.8846153846153848E-2</v>
      </c>
      <c r="V7">
        <f t="shared" si="7"/>
        <v>3.4482758620689655E-2</v>
      </c>
    </row>
    <row r="8" spans="1:22" x14ac:dyDescent="0.2">
      <c r="A8" t="s">
        <v>84</v>
      </c>
      <c r="B8" t="s">
        <v>86</v>
      </c>
      <c r="C8" t="s">
        <v>96</v>
      </c>
      <c r="D8" t="s">
        <v>87</v>
      </c>
      <c r="E8" t="s">
        <v>84</v>
      </c>
      <c r="F8" t="s">
        <v>83</v>
      </c>
      <c r="I8" t="s">
        <v>196</v>
      </c>
      <c r="J8">
        <f t="shared" ref="J8:O8" si="12">COUNTIF(A:A, "*Formylation*")</f>
        <v>19</v>
      </c>
      <c r="K8">
        <f t="shared" si="12"/>
        <v>9</v>
      </c>
      <c r="L8">
        <f t="shared" si="12"/>
        <v>0</v>
      </c>
      <c r="M8">
        <f t="shared" si="12"/>
        <v>1</v>
      </c>
      <c r="N8">
        <f t="shared" si="12"/>
        <v>3</v>
      </c>
      <c r="O8">
        <f t="shared" si="12"/>
        <v>2</v>
      </c>
      <c r="P8" t="s">
        <v>99</v>
      </c>
      <c r="Q8">
        <f t="shared" si="2"/>
        <v>2.4516129032258065E-2</v>
      </c>
      <c r="R8">
        <f t="shared" si="3"/>
        <v>1.6333938294010888E-2</v>
      </c>
      <c r="S8">
        <f t="shared" si="4"/>
        <v>0</v>
      </c>
      <c r="T8">
        <f t="shared" si="5"/>
        <v>7.6923076923076927E-3</v>
      </c>
      <c r="U8">
        <f t="shared" si="6"/>
        <v>9.6153846153846159E-3</v>
      </c>
      <c r="V8">
        <f t="shared" si="7"/>
        <v>9.852216748768473E-3</v>
      </c>
    </row>
    <row r="9" spans="1:22" x14ac:dyDescent="0.2">
      <c r="A9" t="s">
        <v>84</v>
      </c>
      <c r="B9" t="s">
        <v>139</v>
      </c>
      <c r="C9" t="s">
        <v>98</v>
      </c>
      <c r="D9" t="s">
        <v>84</v>
      </c>
      <c r="E9" t="s">
        <v>87</v>
      </c>
      <c r="F9" t="s">
        <v>84</v>
      </c>
      <c r="I9" t="s">
        <v>201</v>
      </c>
      <c r="J9">
        <f t="shared" ref="J9:O9" si="13">COUNTIF(A:A, "*Methylation*")</f>
        <v>134</v>
      </c>
      <c r="K9">
        <f t="shared" si="13"/>
        <v>104</v>
      </c>
      <c r="L9">
        <f t="shared" si="13"/>
        <v>15</v>
      </c>
      <c r="M9">
        <f t="shared" si="13"/>
        <v>21</v>
      </c>
      <c r="N9">
        <f t="shared" si="13"/>
        <v>55</v>
      </c>
      <c r="O9">
        <f t="shared" si="13"/>
        <v>32</v>
      </c>
      <c r="P9" t="s">
        <v>248</v>
      </c>
      <c r="Q9">
        <f t="shared" si="2"/>
        <v>0.17290322580645162</v>
      </c>
      <c r="R9">
        <f t="shared" si="3"/>
        <v>0.18874773139745918</v>
      </c>
      <c r="S9">
        <f t="shared" si="4"/>
        <v>0.14150943396226415</v>
      </c>
      <c r="T9">
        <f t="shared" si="5"/>
        <v>0.16153846153846155</v>
      </c>
      <c r="U9">
        <f t="shared" si="6"/>
        <v>0.17628205128205129</v>
      </c>
      <c r="V9">
        <f t="shared" si="7"/>
        <v>0.15763546798029557</v>
      </c>
    </row>
    <row r="10" spans="1:22" x14ac:dyDescent="0.2">
      <c r="A10" t="s">
        <v>96</v>
      </c>
      <c r="B10" t="s">
        <v>140</v>
      </c>
      <c r="C10" t="s">
        <v>84</v>
      </c>
      <c r="D10" t="s">
        <v>83</v>
      </c>
      <c r="E10" t="s">
        <v>86</v>
      </c>
      <c r="F10" t="s">
        <v>83</v>
      </c>
      <c r="I10" t="s">
        <v>202</v>
      </c>
      <c r="J10">
        <f t="shared" ref="J10:O10" si="14">COUNTIF(A:A, "*Propionamide*")</f>
        <v>5</v>
      </c>
      <c r="K10">
        <f t="shared" si="14"/>
        <v>4</v>
      </c>
      <c r="L10">
        <f t="shared" si="14"/>
        <v>0</v>
      </c>
      <c r="M10">
        <f t="shared" si="14"/>
        <v>2</v>
      </c>
      <c r="N10">
        <f t="shared" si="14"/>
        <v>2</v>
      </c>
      <c r="O10">
        <f t="shared" si="14"/>
        <v>1</v>
      </c>
      <c r="P10" t="s">
        <v>249</v>
      </c>
      <c r="Q10">
        <f t="shared" si="2"/>
        <v>6.4516129032258064E-3</v>
      </c>
      <c r="R10">
        <f t="shared" si="3"/>
        <v>7.2595281306715061E-3</v>
      </c>
      <c r="S10">
        <f t="shared" si="4"/>
        <v>0</v>
      </c>
      <c r="T10">
        <f t="shared" si="5"/>
        <v>1.5384615384615385E-2</v>
      </c>
      <c r="U10">
        <f t="shared" si="6"/>
        <v>6.41025641025641E-3</v>
      </c>
      <c r="V10">
        <f t="shared" si="7"/>
        <v>4.9261083743842365E-3</v>
      </c>
    </row>
    <row r="11" spans="1:22" x14ac:dyDescent="0.2">
      <c r="A11" t="s">
        <v>86</v>
      </c>
      <c r="B11" t="s">
        <v>96</v>
      </c>
      <c r="C11" t="s">
        <v>91</v>
      </c>
      <c r="D11" t="s">
        <v>84</v>
      </c>
      <c r="E11" t="s">
        <v>86</v>
      </c>
      <c r="F11" t="s">
        <v>98</v>
      </c>
      <c r="I11" t="s">
        <v>203</v>
      </c>
      <c r="J11">
        <f t="shared" ref="J11:O11" si="15">COUNTIF(A:A, "*Sodium adduct*")</f>
        <v>21</v>
      </c>
      <c r="K11">
        <f t="shared" si="15"/>
        <v>15</v>
      </c>
      <c r="L11">
        <f t="shared" si="15"/>
        <v>4</v>
      </c>
      <c r="M11">
        <f t="shared" si="15"/>
        <v>4</v>
      </c>
      <c r="N11">
        <f t="shared" si="15"/>
        <v>6</v>
      </c>
      <c r="O11">
        <f t="shared" si="15"/>
        <v>7</v>
      </c>
      <c r="P11" t="s">
        <v>84</v>
      </c>
      <c r="Q11">
        <f t="shared" si="2"/>
        <v>2.7096774193548386E-2</v>
      </c>
      <c r="R11">
        <f t="shared" si="3"/>
        <v>2.7223230490018149E-2</v>
      </c>
      <c r="S11">
        <f t="shared" si="4"/>
        <v>3.7735849056603772E-2</v>
      </c>
      <c r="T11">
        <f t="shared" si="5"/>
        <v>3.0769230769230771E-2</v>
      </c>
      <c r="U11">
        <f t="shared" si="6"/>
        <v>1.9230769230769232E-2</v>
      </c>
      <c r="V11">
        <f t="shared" si="7"/>
        <v>3.4482758620689655E-2</v>
      </c>
    </row>
    <row r="12" spans="1:22" x14ac:dyDescent="0.2">
      <c r="A12" t="s">
        <v>115</v>
      </c>
      <c r="B12" t="s">
        <v>86</v>
      </c>
      <c r="C12" t="s">
        <v>87</v>
      </c>
      <c r="D12" t="s">
        <v>119</v>
      </c>
      <c r="E12" t="s">
        <v>88</v>
      </c>
      <c r="F12" t="s">
        <v>85</v>
      </c>
      <c r="I12" t="s">
        <v>204</v>
      </c>
      <c r="J12">
        <f t="shared" ref="J12:O12" si="16">COUNTIF(A:A, "*Pyro-glu from Q*")</f>
        <v>10</v>
      </c>
      <c r="K12">
        <f t="shared" si="16"/>
        <v>4</v>
      </c>
      <c r="L12">
        <f t="shared" si="16"/>
        <v>3</v>
      </c>
      <c r="M12">
        <f t="shared" si="16"/>
        <v>3</v>
      </c>
      <c r="N12">
        <f t="shared" si="16"/>
        <v>1</v>
      </c>
      <c r="O12">
        <f t="shared" si="16"/>
        <v>0</v>
      </c>
      <c r="P12" t="s">
        <v>95</v>
      </c>
      <c r="Q12">
        <f t="shared" si="2"/>
        <v>1.2903225806451613E-2</v>
      </c>
      <c r="R12">
        <f t="shared" si="3"/>
        <v>7.2595281306715061E-3</v>
      </c>
      <c r="S12">
        <f t="shared" si="4"/>
        <v>2.8301886792452831E-2</v>
      </c>
      <c r="T12">
        <f t="shared" si="5"/>
        <v>2.3076923076923078E-2</v>
      </c>
      <c r="U12">
        <f t="shared" si="6"/>
        <v>3.205128205128205E-3</v>
      </c>
      <c r="V12">
        <f t="shared" si="7"/>
        <v>0</v>
      </c>
    </row>
    <row r="13" spans="1:22" x14ac:dyDescent="0.2">
      <c r="A13" t="s">
        <v>170</v>
      </c>
      <c r="B13" t="s">
        <v>86</v>
      </c>
      <c r="C13" t="s">
        <v>87</v>
      </c>
      <c r="D13" t="s">
        <v>118</v>
      </c>
      <c r="E13" t="s">
        <v>86</v>
      </c>
      <c r="F13" t="s">
        <v>87</v>
      </c>
      <c r="I13" t="s">
        <v>205</v>
      </c>
      <c r="J13">
        <f t="shared" ref="J13:O13" si="17">COUNTIF(A:A, "*Mutation*")</f>
        <v>86</v>
      </c>
      <c r="K13">
        <f t="shared" si="17"/>
        <v>43</v>
      </c>
      <c r="L13">
        <f t="shared" si="17"/>
        <v>7</v>
      </c>
      <c r="M13">
        <f t="shared" si="17"/>
        <v>5</v>
      </c>
      <c r="N13">
        <f t="shared" si="17"/>
        <v>38</v>
      </c>
      <c r="O13">
        <f t="shared" si="17"/>
        <v>21</v>
      </c>
      <c r="P13" t="s">
        <v>85</v>
      </c>
      <c r="Q13">
        <f t="shared" si="2"/>
        <v>0.11096774193548387</v>
      </c>
      <c r="R13">
        <f t="shared" si="3"/>
        <v>7.8039927404718698E-2</v>
      </c>
      <c r="S13">
        <f t="shared" si="4"/>
        <v>6.6037735849056603E-2</v>
      </c>
      <c r="T13">
        <f t="shared" si="5"/>
        <v>3.8461538461538464E-2</v>
      </c>
      <c r="U13">
        <f t="shared" si="6"/>
        <v>0.12179487179487179</v>
      </c>
      <c r="V13">
        <f t="shared" si="7"/>
        <v>0.10344827586206896</v>
      </c>
    </row>
    <row r="14" spans="1:22" x14ac:dyDescent="0.2">
      <c r="A14" t="s">
        <v>86</v>
      </c>
      <c r="B14" t="s">
        <v>84</v>
      </c>
      <c r="C14" t="s">
        <v>86</v>
      </c>
      <c r="D14" t="s">
        <v>94</v>
      </c>
      <c r="E14" t="s">
        <v>85</v>
      </c>
      <c r="F14" t="s">
        <v>87</v>
      </c>
      <c r="I14" t="s">
        <v>206</v>
      </c>
      <c r="J14">
        <f t="shared" ref="J14:O14" si="18">COUNTIF(A:A, "*Monoglutamyl*")</f>
        <v>0</v>
      </c>
      <c r="K14">
        <f t="shared" si="18"/>
        <v>0</v>
      </c>
      <c r="L14">
        <f t="shared" si="18"/>
        <v>0</v>
      </c>
      <c r="M14">
        <f t="shared" si="18"/>
        <v>0</v>
      </c>
      <c r="N14">
        <f t="shared" si="18"/>
        <v>0</v>
      </c>
      <c r="O14">
        <f t="shared" si="18"/>
        <v>1</v>
      </c>
      <c r="P14" t="s">
        <v>131</v>
      </c>
      <c r="Q14">
        <f t="shared" si="2"/>
        <v>0</v>
      </c>
      <c r="R14">
        <f t="shared" si="3"/>
        <v>0</v>
      </c>
      <c r="S14">
        <f t="shared" si="4"/>
        <v>0</v>
      </c>
      <c r="T14">
        <f t="shared" si="5"/>
        <v>0</v>
      </c>
      <c r="U14">
        <f t="shared" si="6"/>
        <v>0</v>
      </c>
      <c r="V14">
        <f t="shared" si="7"/>
        <v>4.9261083743842365E-3</v>
      </c>
    </row>
    <row r="15" spans="1:22" x14ac:dyDescent="0.2">
      <c r="A15" t="s">
        <v>103</v>
      </c>
      <c r="B15" t="s">
        <v>83</v>
      </c>
      <c r="C15" t="s">
        <v>117</v>
      </c>
      <c r="D15" t="s">
        <v>118</v>
      </c>
      <c r="E15" t="s">
        <v>84</v>
      </c>
      <c r="F15" t="s">
        <v>92</v>
      </c>
      <c r="I15" t="s">
        <v>207</v>
      </c>
      <c r="J15">
        <f t="shared" ref="J15:O15" si="19">COUNTIF(A:A, "*Phosphorylation*")</f>
        <v>2</v>
      </c>
      <c r="K15">
        <f t="shared" si="19"/>
        <v>2</v>
      </c>
      <c r="L15">
        <f t="shared" si="19"/>
        <v>0</v>
      </c>
      <c r="M15">
        <f t="shared" si="19"/>
        <v>3</v>
      </c>
      <c r="N15">
        <f t="shared" si="19"/>
        <v>6</v>
      </c>
      <c r="O15">
        <f t="shared" si="19"/>
        <v>3</v>
      </c>
      <c r="P15" t="s">
        <v>102</v>
      </c>
      <c r="Q15">
        <f t="shared" si="2"/>
        <v>2.5806451612903226E-3</v>
      </c>
      <c r="R15">
        <f t="shared" si="3"/>
        <v>3.629764065335753E-3</v>
      </c>
      <c r="S15">
        <f t="shared" si="4"/>
        <v>0</v>
      </c>
      <c r="T15">
        <f t="shared" si="5"/>
        <v>2.3076923076923078E-2</v>
      </c>
      <c r="U15">
        <f t="shared" si="6"/>
        <v>1.9230769230769232E-2</v>
      </c>
      <c r="V15">
        <f t="shared" si="7"/>
        <v>1.4778325123152709E-2</v>
      </c>
    </row>
    <row r="16" spans="1:22" x14ac:dyDescent="0.2">
      <c r="A16" t="s">
        <v>96</v>
      </c>
      <c r="B16" t="s">
        <v>92</v>
      </c>
      <c r="C16" t="s">
        <v>96</v>
      </c>
      <c r="D16" t="s">
        <v>100</v>
      </c>
      <c r="E16" t="s">
        <v>87</v>
      </c>
      <c r="F16" t="s">
        <v>85</v>
      </c>
      <c r="I16" t="s">
        <v>208</v>
      </c>
      <c r="J16">
        <f t="shared" ref="J16:O16" si="20">COUNTIF(A:A, "*Sulphone*")</f>
        <v>2</v>
      </c>
      <c r="K16">
        <f t="shared" si="20"/>
        <v>0</v>
      </c>
      <c r="L16">
        <f t="shared" si="20"/>
        <v>0</v>
      </c>
      <c r="M16">
        <f t="shared" si="20"/>
        <v>1</v>
      </c>
      <c r="N16">
        <f t="shared" si="20"/>
        <v>0</v>
      </c>
      <c r="O16">
        <f t="shared" si="20"/>
        <v>0</v>
      </c>
      <c r="P16" t="s">
        <v>120</v>
      </c>
      <c r="Q16">
        <f t="shared" si="2"/>
        <v>2.5806451612903226E-3</v>
      </c>
      <c r="R16">
        <f t="shared" si="3"/>
        <v>0</v>
      </c>
      <c r="S16">
        <f t="shared" si="4"/>
        <v>0</v>
      </c>
      <c r="T16">
        <f t="shared" si="5"/>
        <v>7.6923076923076927E-3</v>
      </c>
      <c r="U16">
        <f t="shared" si="6"/>
        <v>0</v>
      </c>
      <c r="V16">
        <f t="shared" si="7"/>
        <v>0</v>
      </c>
    </row>
    <row r="17" spans="1:22" x14ac:dyDescent="0.2">
      <c r="A17" t="s">
        <v>86</v>
      </c>
      <c r="B17" t="s">
        <v>83</v>
      </c>
      <c r="C17" t="s">
        <v>96</v>
      </c>
      <c r="D17" t="s">
        <v>95</v>
      </c>
      <c r="E17" t="s">
        <v>83</v>
      </c>
      <c r="F17" t="s">
        <v>85</v>
      </c>
      <c r="I17" t="s">
        <v>209</v>
      </c>
      <c r="J17">
        <f t="shared" ref="J17:O17" si="21">COUNTIF(A:A, "*Carbamylation*")</f>
        <v>8</v>
      </c>
      <c r="K17">
        <f t="shared" si="21"/>
        <v>3</v>
      </c>
      <c r="L17">
        <f t="shared" si="21"/>
        <v>1</v>
      </c>
      <c r="M17">
        <f t="shared" si="21"/>
        <v>0</v>
      </c>
      <c r="N17">
        <f t="shared" si="21"/>
        <v>2</v>
      </c>
      <c r="O17">
        <f t="shared" si="21"/>
        <v>2</v>
      </c>
      <c r="P17" t="s">
        <v>91</v>
      </c>
      <c r="Q17">
        <f t="shared" si="2"/>
        <v>1.032258064516129E-2</v>
      </c>
      <c r="R17">
        <f t="shared" si="3"/>
        <v>5.4446460980036296E-3</v>
      </c>
      <c r="S17">
        <f t="shared" si="4"/>
        <v>9.433962264150943E-3</v>
      </c>
      <c r="T17">
        <f t="shared" si="5"/>
        <v>0</v>
      </c>
      <c r="U17">
        <f t="shared" si="6"/>
        <v>6.41025641025641E-3</v>
      </c>
      <c r="V17">
        <f t="shared" si="7"/>
        <v>9.852216748768473E-3</v>
      </c>
    </row>
    <row r="18" spans="1:22" x14ac:dyDescent="0.2">
      <c r="A18" t="s">
        <v>96</v>
      </c>
      <c r="B18" t="s">
        <v>86</v>
      </c>
      <c r="C18" t="s">
        <v>83</v>
      </c>
      <c r="D18" t="s">
        <v>86</v>
      </c>
      <c r="E18" t="s">
        <v>85</v>
      </c>
      <c r="F18" t="s">
        <v>85</v>
      </c>
      <c r="I18" t="s">
        <v>210</v>
      </c>
      <c r="J18">
        <f t="shared" ref="J18:O18" si="22">COUNTIF(A:A, "*Ethylation*")</f>
        <v>139</v>
      </c>
      <c r="K18">
        <f t="shared" si="22"/>
        <v>108</v>
      </c>
      <c r="L18">
        <f t="shared" si="22"/>
        <v>17</v>
      </c>
      <c r="M18">
        <f t="shared" si="22"/>
        <v>22</v>
      </c>
      <c r="N18">
        <f t="shared" si="22"/>
        <v>56</v>
      </c>
      <c r="O18">
        <f t="shared" si="22"/>
        <v>33</v>
      </c>
      <c r="P18" t="s">
        <v>115</v>
      </c>
      <c r="Q18">
        <f t="shared" si="2"/>
        <v>0.17935483870967742</v>
      </c>
      <c r="R18">
        <f t="shared" si="3"/>
        <v>0.19600725952813067</v>
      </c>
      <c r="S18">
        <f t="shared" si="4"/>
        <v>0.16037735849056603</v>
      </c>
      <c r="T18">
        <f t="shared" si="5"/>
        <v>0.16923076923076924</v>
      </c>
      <c r="U18">
        <f t="shared" si="6"/>
        <v>0.17948717948717949</v>
      </c>
      <c r="V18">
        <f t="shared" si="7"/>
        <v>0.1625615763546798</v>
      </c>
    </row>
    <row r="19" spans="1:22" x14ac:dyDescent="0.2">
      <c r="A19" t="s">
        <v>96</v>
      </c>
      <c r="B19" t="s">
        <v>96</v>
      </c>
      <c r="C19" t="s">
        <v>83</v>
      </c>
      <c r="D19" t="s">
        <v>95</v>
      </c>
      <c r="E19" t="s">
        <v>86</v>
      </c>
      <c r="F19" t="s">
        <v>87</v>
      </c>
      <c r="I19" t="s">
        <v>211</v>
      </c>
      <c r="J19">
        <f t="shared" ref="J19:O19" si="23">COUNTIF(A:A, "*Glycidamide adduct*")</f>
        <v>2</v>
      </c>
      <c r="K19">
        <f t="shared" si="23"/>
        <v>0</v>
      </c>
      <c r="L19">
        <f t="shared" si="23"/>
        <v>0</v>
      </c>
      <c r="M19">
        <f t="shared" si="23"/>
        <v>0</v>
      </c>
      <c r="N19">
        <f t="shared" si="23"/>
        <v>0</v>
      </c>
      <c r="O19">
        <f t="shared" si="23"/>
        <v>0</v>
      </c>
      <c r="P19" t="s">
        <v>176</v>
      </c>
      <c r="Q19">
        <f t="shared" si="2"/>
        <v>2.5806451612903226E-3</v>
      </c>
      <c r="R19">
        <f t="shared" si="3"/>
        <v>0</v>
      </c>
      <c r="S19">
        <f t="shared" si="4"/>
        <v>0</v>
      </c>
      <c r="T19">
        <f t="shared" si="5"/>
        <v>0</v>
      </c>
      <c r="U19">
        <f t="shared" si="6"/>
        <v>0</v>
      </c>
      <c r="V19">
        <f t="shared" si="7"/>
        <v>0</v>
      </c>
    </row>
    <row r="20" spans="1:22" x14ac:dyDescent="0.2">
      <c r="A20" t="s">
        <v>86</v>
      </c>
      <c r="B20" t="s">
        <v>96</v>
      </c>
      <c r="C20" t="s">
        <v>83</v>
      </c>
      <c r="D20" t="s">
        <v>98</v>
      </c>
      <c r="E20" t="s">
        <v>84</v>
      </c>
      <c r="F20" t="s">
        <v>91</v>
      </c>
      <c r="I20" t="s">
        <v>212</v>
      </c>
      <c r="J20">
        <f t="shared" ref="J20:O20" si="24">COUNTIF(A:A, "*Hydroxymethyl*")</f>
        <v>1</v>
      </c>
      <c r="K20">
        <f t="shared" si="24"/>
        <v>0</v>
      </c>
      <c r="L20">
        <f t="shared" si="24"/>
        <v>0</v>
      </c>
      <c r="M20">
        <f t="shared" si="24"/>
        <v>0</v>
      </c>
      <c r="N20">
        <f t="shared" si="24"/>
        <v>1</v>
      </c>
      <c r="O20">
        <f t="shared" si="24"/>
        <v>0</v>
      </c>
      <c r="P20" t="s">
        <v>97</v>
      </c>
      <c r="Q20">
        <f t="shared" si="2"/>
        <v>1.2903225806451613E-3</v>
      </c>
      <c r="R20">
        <f t="shared" si="3"/>
        <v>0</v>
      </c>
      <c r="S20">
        <f t="shared" si="4"/>
        <v>0</v>
      </c>
      <c r="T20">
        <f t="shared" si="5"/>
        <v>0</v>
      </c>
      <c r="U20">
        <f t="shared" si="6"/>
        <v>3.205128205128205E-3</v>
      </c>
      <c r="V20">
        <f t="shared" si="7"/>
        <v>0</v>
      </c>
    </row>
    <row r="21" spans="1:22" x14ac:dyDescent="0.2">
      <c r="A21" t="s">
        <v>96</v>
      </c>
      <c r="B21" t="s">
        <v>86</v>
      </c>
      <c r="C21" t="s">
        <v>85</v>
      </c>
      <c r="D21" t="s">
        <v>98</v>
      </c>
      <c r="E21" t="s">
        <v>89</v>
      </c>
      <c r="F21" t="s">
        <v>84</v>
      </c>
      <c r="I21" t="s">
        <v>213</v>
      </c>
      <c r="J21">
        <f t="shared" ref="J21:O21" si="25">COUNTIF(A:A, "*Ubiquitin*")</f>
        <v>2</v>
      </c>
      <c r="K21">
        <f t="shared" si="25"/>
        <v>1</v>
      </c>
      <c r="L21">
        <f t="shared" si="25"/>
        <v>0</v>
      </c>
      <c r="M21">
        <f t="shared" si="25"/>
        <v>0</v>
      </c>
      <c r="N21">
        <f t="shared" si="25"/>
        <v>0</v>
      </c>
      <c r="O21">
        <f t="shared" si="25"/>
        <v>0</v>
      </c>
      <c r="P21" t="s">
        <v>165</v>
      </c>
      <c r="Q21">
        <f t="shared" si="2"/>
        <v>2.5806451612903226E-3</v>
      </c>
      <c r="R21">
        <f t="shared" si="3"/>
        <v>1.8148820326678765E-3</v>
      </c>
      <c r="S21">
        <f t="shared" si="4"/>
        <v>0</v>
      </c>
      <c r="T21">
        <f t="shared" si="5"/>
        <v>0</v>
      </c>
      <c r="U21">
        <f t="shared" si="6"/>
        <v>0</v>
      </c>
      <c r="V21">
        <f t="shared" si="7"/>
        <v>0</v>
      </c>
    </row>
    <row r="22" spans="1:22" x14ac:dyDescent="0.2">
      <c r="A22" t="s">
        <v>84</v>
      </c>
      <c r="B22" t="s">
        <v>86</v>
      </c>
      <c r="C22" t="s">
        <v>87</v>
      </c>
      <c r="D22" t="s">
        <v>118</v>
      </c>
      <c r="E22" t="s">
        <v>84</v>
      </c>
      <c r="F22" t="s">
        <v>96</v>
      </c>
      <c r="I22" t="s">
        <v>214</v>
      </c>
      <c r="J22">
        <f t="shared" ref="J22:O22" si="26">COUNTIF(A:A, "*Tryptophan oxidation to kynurenin*")</f>
        <v>1</v>
      </c>
      <c r="K22">
        <f t="shared" si="26"/>
        <v>0</v>
      </c>
      <c r="L22">
        <f t="shared" si="26"/>
        <v>0</v>
      </c>
      <c r="M22">
        <f t="shared" si="26"/>
        <v>0</v>
      </c>
      <c r="N22">
        <f t="shared" si="26"/>
        <v>0</v>
      </c>
      <c r="O22">
        <f t="shared" si="26"/>
        <v>0</v>
      </c>
      <c r="P22" t="s">
        <v>172</v>
      </c>
      <c r="Q22">
        <f t="shared" si="2"/>
        <v>1.2903225806451613E-3</v>
      </c>
      <c r="R22">
        <f t="shared" si="3"/>
        <v>0</v>
      </c>
      <c r="S22">
        <f t="shared" si="4"/>
        <v>0</v>
      </c>
      <c r="T22">
        <f t="shared" si="5"/>
        <v>0</v>
      </c>
      <c r="U22">
        <f t="shared" si="6"/>
        <v>0</v>
      </c>
      <c r="V22">
        <f t="shared" si="7"/>
        <v>0</v>
      </c>
    </row>
    <row r="23" spans="1:22" x14ac:dyDescent="0.2">
      <c r="A23" t="s">
        <v>95</v>
      </c>
      <c r="B23" t="s">
        <v>86</v>
      </c>
      <c r="C23" t="s">
        <v>98</v>
      </c>
      <c r="D23" t="s">
        <v>118</v>
      </c>
      <c r="E23" t="s">
        <v>84</v>
      </c>
      <c r="F23" t="s">
        <v>89</v>
      </c>
      <c r="I23" t="s">
        <v>215</v>
      </c>
      <c r="J23">
        <f t="shared" ref="J23:O23" si="27">COUNTIF(A:A, "*Replacement of proton by potassium*")</f>
        <v>3</v>
      </c>
      <c r="K23">
        <f t="shared" si="27"/>
        <v>0</v>
      </c>
      <c r="L23">
        <f t="shared" si="27"/>
        <v>4</v>
      </c>
      <c r="M23">
        <f t="shared" si="27"/>
        <v>4</v>
      </c>
      <c r="N23">
        <f t="shared" si="27"/>
        <v>2</v>
      </c>
      <c r="O23">
        <f t="shared" si="27"/>
        <v>4</v>
      </c>
      <c r="P23" t="s">
        <v>98</v>
      </c>
      <c r="Q23">
        <f t="shared" si="2"/>
        <v>3.8709677419354839E-3</v>
      </c>
      <c r="R23">
        <f t="shared" si="3"/>
        <v>0</v>
      </c>
      <c r="S23">
        <f t="shared" si="4"/>
        <v>3.7735849056603772E-2</v>
      </c>
      <c r="T23">
        <f t="shared" si="5"/>
        <v>3.0769230769230771E-2</v>
      </c>
      <c r="U23">
        <f t="shared" si="6"/>
        <v>6.41025641025641E-3</v>
      </c>
      <c r="V23">
        <f t="shared" si="7"/>
        <v>1.9704433497536946E-2</v>
      </c>
    </row>
    <row r="24" spans="1:22" x14ac:dyDescent="0.2">
      <c r="A24" t="s">
        <v>86</v>
      </c>
      <c r="B24" t="s">
        <v>132</v>
      </c>
      <c r="C24" t="s">
        <v>153</v>
      </c>
      <c r="D24" t="s">
        <v>120</v>
      </c>
      <c r="E24" t="s">
        <v>83</v>
      </c>
      <c r="F24" t="s">
        <v>91</v>
      </c>
      <c r="I24" t="s">
        <v>216</v>
      </c>
      <c r="J24">
        <f t="shared" ref="J24:O24" si="28">COUNTIF(A:A, "*2-amino-3-oxo-butanoic_acid*")</f>
        <v>0</v>
      </c>
      <c r="K24">
        <f t="shared" si="28"/>
        <v>0</v>
      </c>
      <c r="L24">
        <f t="shared" si="28"/>
        <v>0</v>
      </c>
      <c r="M24">
        <f t="shared" si="28"/>
        <v>1</v>
      </c>
      <c r="N24">
        <f t="shared" si="28"/>
        <v>0</v>
      </c>
      <c r="O24">
        <f t="shared" si="28"/>
        <v>0</v>
      </c>
      <c r="P24" t="s">
        <v>125</v>
      </c>
      <c r="Q24">
        <f t="shared" si="2"/>
        <v>0</v>
      </c>
      <c r="R24">
        <f t="shared" si="3"/>
        <v>0</v>
      </c>
      <c r="S24">
        <f t="shared" si="4"/>
        <v>0</v>
      </c>
      <c r="T24">
        <f t="shared" si="5"/>
        <v>7.6923076923076927E-3</v>
      </c>
      <c r="U24">
        <f t="shared" si="6"/>
        <v>0</v>
      </c>
      <c r="V24">
        <f t="shared" si="7"/>
        <v>0</v>
      </c>
    </row>
    <row r="25" spans="1:22" x14ac:dyDescent="0.2">
      <c r="A25" t="s">
        <v>86</v>
      </c>
      <c r="B25" t="s">
        <v>83</v>
      </c>
      <c r="C25" t="s">
        <v>92</v>
      </c>
      <c r="D25" t="s">
        <v>85</v>
      </c>
      <c r="E25" t="s">
        <v>83</v>
      </c>
      <c r="F25" t="s">
        <v>96</v>
      </c>
      <c r="I25" t="s">
        <v>217</v>
      </c>
      <c r="J25">
        <f t="shared" ref="J25:O25" si="29">COUNTIF(A:A, "*Deoxy*")</f>
        <v>6</v>
      </c>
      <c r="K25">
        <f t="shared" si="29"/>
        <v>8</v>
      </c>
      <c r="L25">
        <f t="shared" si="29"/>
        <v>0</v>
      </c>
      <c r="M25">
        <f t="shared" si="29"/>
        <v>0</v>
      </c>
      <c r="N25">
        <f t="shared" si="29"/>
        <v>2</v>
      </c>
      <c r="O25">
        <f t="shared" si="29"/>
        <v>2</v>
      </c>
      <c r="P25" t="s">
        <v>101</v>
      </c>
      <c r="Q25">
        <f t="shared" si="2"/>
        <v>7.7419354838709677E-3</v>
      </c>
      <c r="R25">
        <f t="shared" si="3"/>
        <v>1.4519056261343012E-2</v>
      </c>
      <c r="S25">
        <f t="shared" si="4"/>
        <v>0</v>
      </c>
      <c r="T25">
        <f t="shared" si="5"/>
        <v>0</v>
      </c>
      <c r="U25">
        <f t="shared" si="6"/>
        <v>6.41025641025641E-3</v>
      </c>
      <c r="V25">
        <f t="shared" si="7"/>
        <v>9.852216748768473E-3</v>
      </c>
    </row>
    <row r="26" spans="1:22" x14ac:dyDescent="0.2">
      <c r="A26" t="s">
        <v>96</v>
      </c>
      <c r="B26" t="s">
        <v>86</v>
      </c>
      <c r="C26" t="s">
        <v>83</v>
      </c>
      <c r="D26" t="s">
        <v>96</v>
      </c>
      <c r="E26" t="s">
        <v>85</v>
      </c>
      <c r="F26" t="s">
        <v>98</v>
      </c>
      <c r="I26" t="s">
        <v>218</v>
      </c>
      <c r="J26">
        <f t="shared" ref="J26:O26" si="30">COUNTIF(A:A, "*Replacement of 2 protons by calcium*")</f>
        <v>12</v>
      </c>
      <c r="K26">
        <f t="shared" si="30"/>
        <v>6</v>
      </c>
      <c r="L26">
        <f t="shared" si="30"/>
        <v>1</v>
      </c>
      <c r="M26">
        <f t="shared" si="30"/>
        <v>1</v>
      </c>
      <c r="N26">
        <f t="shared" si="30"/>
        <v>2</v>
      </c>
      <c r="O26">
        <f t="shared" si="30"/>
        <v>1</v>
      </c>
      <c r="P26" t="s">
        <v>92</v>
      </c>
      <c r="Q26">
        <f t="shared" si="2"/>
        <v>1.5483870967741935E-2</v>
      </c>
      <c r="R26">
        <f t="shared" si="3"/>
        <v>1.0889292196007259E-2</v>
      </c>
      <c r="S26">
        <f t="shared" si="4"/>
        <v>9.433962264150943E-3</v>
      </c>
      <c r="T26">
        <f t="shared" si="5"/>
        <v>7.6923076923076927E-3</v>
      </c>
      <c r="U26">
        <f t="shared" si="6"/>
        <v>6.41025641025641E-3</v>
      </c>
      <c r="V26">
        <f t="shared" si="7"/>
        <v>4.9261083743842365E-3</v>
      </c>
    </row>
    <row r="27" spans="1:22" x14ac:dyDescent="0.2">
      <c r="A27" t="s">
        <v>84</v>
      </c>
      <c r="B27" t="s">
        <v>84</v>
      </c>
      <c r="C27" t="s">
        <v>96</v>
      </c>
      <c r="D27" t="s">
        <v>98</v>
      </c>
      <c r="E27" t="s">
        <v>88</v>
      </c>
      <c r="F27" t="s">
        <v>98</v>
      </c>
      <c r="I27" t="s">
        <v>219</v>
      </c>
      <c r="J27">
        <f t="shared" ref="J27:O27" si="31">COUNTIF(A:A, "*Dimethylation(KR)*")</f>
        <v>5</v>
      </c>
      <c r="K27">
        <f t="shared" si="31"/>
        <v>7</v>
      </c>
      <c r="L27">
        <f t="shared" si="31"/>
        <v>4</v>
      </c>
      <c r="M27">
        <f t="shared" si="31"/>
        <v>6</v>
      </c>
      <c r="N27">
        <f t="shared" si="31"/>
        <v>2</v>
      </c>
      <c r="O27">
        <f t="shared" si="31"/>
        <v>1</v>
      </c>
      <c r="P27" t="s">
        <v>108</v>
      </c>
      <c r="Q27">
        <f t="shared" si="2"/>
        <v>6.4516129032258064E-3</v>
      </c>
      <c r="R27">
        <f t="shared" si="3"/>
        <v>1.2704174228675136E-2</v>
      </c>
      <c r="S27">
        <f t="shared" si="4"/>
        <v>3.7735849056603772E-2</v>
      </c>
      <c r="T27">
        <f t="shared" si="5"/>
        <v>4.6153846153846156E-2</v>
      </c>
      <c r="U27">
        <f t="shared" si="6"/>
        <v>6.41025641025641E-3</v>
      </c>
      <c r="V27">
        <f t="shared" si="7"/>
        <v>4.9261083743842365E-3</v>
      </c>
    </row>
    <row r="28" spans="1:22" x14ac:dyDescent="0.2">
      <c r="A28" t="s">
        <v>89</v>
      </c>
      <c r="B28" t="s">
        <v>86</v>
      </c>
      <c r="C28" t="s">
        <v>96</v>
      </c>
      <c r="D28" t="s">
        <v>98</v>
      </c>
      <c r="E28" t="s">
        <v>86</v>
      </c>
      <c r="F28" t="s">
        <v>85</v>
      </c>
      <c r="I28" t="s">
        <v>220</v>
      </c>
      <c r="J28">
        <f t="shared" ref="J28:O28" si="32">COUNTIF(A:A, "*Dihydroxy*")</f>
        <v>2</v>
      </c>
      <c r="K28">
        <f t="shared" si="32"/>
        <v>1</v>
      </c>
      <c r="L28">
        <f t="shared" si="32"/>
        <v>0</v>
      </c>
      <c r="M28">
        <f t="shared" si="32"/>
        <v>1</v>
      </c>
      <c r="N28">
        <f t="shared" si="32"/>
        <v>0</v>
      </c>
      <c r="O28">
        <f t="shared" si="32"/>
        <v>1</v>
      </c>
      <c r="P28" t="s">
        <v>133</v>
      </c>
      <c r="Q28">
        <f t="shared" si="2"/>
        <v>2.5806451612903226E-3</v>
      </c>
      <c r="R28">
        <f t="shared" si="3"/>
        <v>1.8148820326678765E-3</v>
      </c>
      <c r="S28">
        <f t="shared" si="4"/>
        <v>0</v>
      </c>
      <c r="T28">
        <f t="shared" si="5"/>
        <v>7.6923076923076927E-3</v>
      </c>
      <c r="U28">
        <f t="shared" si="6"/>
        <v>0</v>
      </c>
      <c r="V28">
        <f t="shared" si="7"/>
        <v>4.9261083743842365E-3</v>
      </c>
    </row>
    <row r="29" spans="1:22" x14ac:dyDescent="0.2">
      <c r="A29" t="s">
        <v>95</v>
      </c>
      <c r="B29" t="s">
        <v>83</v>
      </c>
      <c r="C29" t="s">
        <v>87</v>
      </c>
      <c r="D29" t="s">
        <v>121</v>
      </c>
      <c r="E29" t="s">
        <v>86</v>
      </c>
      <c r="F29" t="s">
        <v>86</v>
      </c>
      <c r="I29" t="s">
        <v>221</v>
      </c>
      <c r="J29">
        <f t="shared" ref="J29:O29" si="33">COUNTIF(A:A, "*Proline oxidation to pyrrolidinone*")</f>
        <v>0</v>
      </c>
      <c r="K29">
        <f t="shared" si="33"/>
        <v>0</v>
      </c>
      <c r="L29">
        <f t="shared" si="33"/>
        <v>0</v>
      </c>
      <c r="M29">
        <f t="shared" si="33"/>
        <v>0</v>
      </c>
      <c r="N29">
        <f t="shared" si="33"/>
        <v>1</v>
      </c>
      <c r="O29">
        <f t="shared" si="33"/>
        <v>0</v>
      </c>
      <c r="P29" t="s">
        <v>93</v>
      </c>
      <c r="Q29">
        <f t="shared" si="2"/>
        <v>0</v>
      </c>
      <c r="R29">
        <f t="shared" si="3"/>
        <v>0</v>
      </c>
      <c r="S29">
        <f t="shared" si="4"/>
        <v>0</v>
      </c>
      <c r="T29">
        <f t="shared" si="5"/>
        <v>0</v>
      </c>
      <c r="U29">
        <f t="shared" si="6"/>
        <v>3.205128205128205E-3</v>
      </c>
      <c r="V29">
        <f t="shared" si="7"/>
        <v>0</v>
      </c>
    </row>
    <row r="30" spans="1:22" x14ac:dyDescent="0.2">
      <c r="A30" t="s">
        <v>83</v>
      </c>
      <c r="B30" t="s">
        <v>83</v>
      </c>
      <c r="C30" t="s">
        <v>139</v>
      </c>
      <c r="D30" t="s">
        <v>122</v>
      </c>
      <c r="E30" t="s">
        <v>85</v>
      </c>
      <c r="F30" t="s">
        <v>86</v>
      </c>
      <c r="I30" t="s">
        <v>222</v>
      </c>
      <c r="J30">
        <f t="shared" ref="J30:O30" si="34">COUNTIF(A:A, "*ISD (z+2)-series*")</f>
        <v>2</v>
      </c>
      <c r="K30">
        <f t="shared" si="34"/>
        <v>2</v>
      </c>
      <c r="L30">
        <f t="shared" si="34"/>
        <v>2</v>
      </c>
      <c r="M30">
        <f t="shared" si="34"/>
        <v>2</v>
      </c>
      <c r="N30">
        <f t="shared" si="34"/>
        <v>0</v>
      </c>
      <c r="O30">
        <f t="shared" si="34"/>
        <v>0</v>
      </c>
      <c r="P30" t="s">
        <v>122</v>
      </c>
      <c r="Q30">
        <f t="shared" si="2"/>
        <v>2.5806451612903226E-3</v>
      </c>
      <c r="R30">
        <f t="shared" si="3"/>
        <v>3.629764065335753E-3</v>
      </c>
      <c r="S30">
        <f t="shared" si="4"/>
        <v>1.8867924528301886E-2</v>
      </c>
      <c r="T30">
        <f t="shared" si="5"/>
        <v>1.5384615384615385E-2</v>
      </c>
      <c r="U30">
        <f t="shared" si="6"/>
        <v>0</v>
      </c>
      <c r="V30">
        <f t="shared" si="7"/>
        <v>0</v>
      </c>
    </row>
    <row r="31" spans="1:22" x14ac:dyDescent="0.2">
      <c r="A31" t="s">
        <v>86</v>
      </c>
      <c r="B31" t="s">
        <v>96</v>
      </c>
      <c r="C31" t="s">
        <v>83</v>
      </c>
      <c r="D31" t="s">
        <v>122</v>
      </c>
      <c r="E31" t="s">
        <v>90</v>
      </c>
      <c r="F31" t="s">
        <v>86</v>
      </c>
      <c r="I31" t="s">
        <v>223</v>
      </c>
      <c r="J31">
        <f t="shared" ref="J31:O31" si="35">COUNTIF(A:A, "*Pyro-glu from E*")</f>
        <v>0</v>
      </c>
      <c r="K31">
        <f t="shared" si="35"/>
        <v>0</v>
      </c>
      <c r="L31">
        <f t="shared" si="35"/>
        <v>0</v>
      </c>
      <c r="M31">
        <f t="shared" si="35"/>
        <v>0</v>
      </c>
      <c r="N31">
        <f t="shared" si="35"/>
        <v>2</v>
      </c>
      <c r="O31">
        <f t="shared" si="35"/>
        <v>0</v>
      </c>
      <c r="P31" t="s">
        <v>90</v>
      </c>
      <c r="Q31">
        <f t="shared" si="2"/>
        <v>0</v>
      </c>
      <c r="R31">
        <f t="shared" si="3"/>
        <v>0</v>
      </c>
      <c r="S31">
        <f t="shared" si="4"/>
        <v>0</v>
      </c>
      <c r="T31">
        <f t="shared" si="5"/>
        <v>0</v>
      </c>
      <c r="U31">
        <f t="shared" si="6"/>
        <v>6.41025641025641E-3</v>
      </c>
      <c r="V31">
        <f t="shared" si="7"/>
        <v>0</v>
      </c>
    </row>
    <row r="32" spans="1:22" x14ac:dyDescent="0.2">
      <c r="A32" t="s">
        <v>86</v>
      </c>
      <c r="B32" t="s">
        <v>84</v>
      </c>
      <c r="C32" t="s">
        <v>85</v>
      </c>
      <c r="D32" t="s">
        <v>123</v>
      </c>
      <c r="E32" t="s">
        <v>85</v>
      </c>
      <c r="F32" t="s">
        <v>132</v>
      </c>
      <c r="I32" t="s">
        <v>224</v>
      </c>
      <c r="J32">
        <f t="shared" ref="J32:O32" si="36">COUNTIF(A:A, "*Ammonia-loss (N)*")</f>
        <v>1</v>
      </c>
      <c r="K32">
        <f t="shared" si="36"/>
        <v>2</v>
      </c>
      <c r="L32">
        <f t="shared" si="36"/>
        <v>0</v>
      </c>
      <c r="M32">
        <f t="shared" si="36"/>
        <v>1</v>
      </c>
      <c r="N32">
        <f t="shared" si="36"/>
        <v>0</v>
      </c>
      <c r="O32">
        <f t="shared" si="36"/>
        <v>0</v>
      </c>
      <c r="P32" t="s">
        <v>151</v>
      </c>
      <c r="Q32">
        <f t="shared" si="2"/>
        <v>1.2903225806451613E-3</v>
      </c>
      <c r="R32">
        <f t="shared" si="3"/>
        <v>3.629764065335753E-3</v>
      </c>
      <c r="S32">
        <f t="shared" si="4"/>
        <v>0</v>
      </c>
      <c r="T32">
        <f t="shared" si="5"/>
        <v>7.6923076923076927E-3</v>
      </c>
      <c r="U32">
        <f t="shared" si="6"/>
        <v>0</v>
      </c>
      <c r="V32">
        <f t="shared" si="7"/>
        <v>0</v>
      </c>
    </row>
    <row r="33" spans="1:22" x14ac:dyDescent="0.2">
      <c r="A33" t="s">
        <v>96</v>
      </c>
      <c r="B33" t="s">
        <v>83</v>
      </c>
      <c r="C33" t="s">
        <v>85</v>
      </c>
      <c r="D33" t="s">
        <v>86</v>
      </c>
      <c r="E33" t="s">
        <v>91</v>
      </c>
      <c r="F33" t="s">
        <v>85</v>
      </c>
      <c r="I33" t="s">
        <v>225</v>
      </c>
      <c r="J33">
        <f t="shared" ref="J33:O33" si="37">COUNTIF(A:A, "*Amidination of lysines or N-terminal amines with methyl acetimidate*")</f>
        <v>1</v>
      </c>
      <c r="K33">
        <f t="shared" si="37"/>
        <v>0</v>
      </c>
      <c r="L33">
        <f t="shared" si="37"/>
        <v>0</v>
      </c>
      <c r="M33">
        <f t="shared" si="37"/>
        <v>1</v>
      </c>
      <c r="N33">
        <f t="shared" si="37"/>
        <v>1</v>
      </c>
      <c r="O33">
        <f t="shared" si="37"/>
        <v>1</v>
      </c>
      <c r="P33" t="s">
        <v>105</v>
      </c>
      <c r="Q33">
        <f t="shared" si="2"/>
        <v>1.2903225806451613E-3</v>
      </c>
      <c r="R33">
        <f t="shared" si="3"/>
        <v>0</v>
      </c>
      <c r="S33">
        <f t="shared" si="4"/>
        <v>0</v>
      </c>
      <c r="T33">
        <f t="shared" si="5"/>
        <v>7.6923076923076927E-3</v>
      </c>
      <c r="U33">
        <f t="shared" si="6"/>
        <v>3.205128205128205E-3</v>
      </c>
      <c r="V33">
        <f t="shared" si="7"/>
        <v>4.9261083743842365E-3</v>
      </c>
    </row>
    <row r="34" spans="1:22" x14ac:dyDescent="0.2">
      <c r="A34" t="s">
        <v>141</v>
      </c>
      <c r="B34" t="s">
        <v>84</v>
      </c>
      <c r="C34" t="s">
        <v>83</v>
      </c>
      <c r="D34" t="s">
        <v>92</v>
      </c>
      <c r="E34" t="s">
        <v>86</v>
      </c>
      <c r="F34" t="s">
        <v>96</v>
      </c>
      <c r="I34" t="s">
        <v>228</v>
      </c>
      <c r="J34">
        <f t="shared" ref="J34:O34" si="38">COUNTIF(A:A, "*Replacement of 2 protons by nickel*")</f>
        <v>1</v>
      </c>
      <c r="K34">
        <f t="shared" si="38"/>
        <v>2</v>
      </c>
      <c r="L34">
        <f t="shared" si="38"/>
        <v>0</v>
      </c>
      <c r="M34">
        <f t="shared" si="38"/>
        <v>0</v>
      </c>
      <c r="N34">
        <f t="shared" si="38"/>
        <v>0</v>
      </c>
      <c r="O34">
        <f t="shared" si="38"/>
        <v>1</v>
      </c>
      <c r="P34" t="s">
        <v>132</v>
      </c>
      <c r="Q34">
        <f t="shared" si="2"/>
        <v>1.2903225806451613E-3</v>
      </c>
      <c r="R34">
        <f t="shared" si="3"/>
        <v>3.629764065335753E-3</v>
      </c>
      <c r="S34">
        <f t="shared" si="4"/>
        <v>0</v>
      </c>
      <c r="T34">
        <f t="shared" si="5"/>
        <v>0</v>
      </c>
      <c r="U34">
        <f t="shared" si="6"/>
        <v>0</v>
      </c>
      <c r="V34">
        <f t="shared" si="7"/>
        <v>4.9261083743842365E-3</v>
      </c>
    </row>
    <row r="35" spans="1:22" x14ac:dyDescent="0.2">
      <c r="A35" t="s">
        <v>96</v>
      </c>
      <c r="B35" t="s">
        <v>86</v>
      </c>
      <c r="C35" t="s">
        <v>85</v>
      </c>
      <c r="D35" t="s">
        <v>108</v>
      </c>
      <c r="E35" t="s">
        <v>86</v>
      </c>
      <c r="F35" t="s">
        <v>115</v>
      </c>
      <c r="I35" t="s">
        <v>229</v>
      </c>
      <c r="J35">
        <f t="shared" ref="J35:O35" si="39">COUNTIF(A:A, "*3-sulfanylpropanoyl*")</f>
        <v>0</v>
      </c>
      <c r="K35">
        <f t="shared" si="39"/>
        <v>0</v>
      </c>
      <c r="L35">
        <f t="shared" si="39"/>
        <v>0</v>
      </c>
      <c r="M35">
        <f t="shared" si="39"/>
        <v>0</v>
      </c>
      <c r="N35">
        <f t="shared" si="39"/>
        <v>1</v>
      </c>
      <c r="O35">
        <f t="shared" si="39"/>
        <v>0</v>
      </c>
      <c r="P35" t="s">
        <v>114</v>
      </c>
      <c r="Q35">
        <f t="shared" si="2"/>
        <v>0</v>
      </c>
      <c r="R35">
        <f t="shared" si="3"/>
        <v>0</v>
      </c>
      <c r="S35">
        <f t="shared" si="4"/>
        <v>0</v>
      </c>
      <c r="T35">
        <f t="shared" si="5"/>
        <v>0</v>
      </c>
      <c r="U35">
        <f t="shared" si="6"/>
        <v>3.205128205128205E-3</v>
      </c>
      <c r="V35">
        <f t="shared" si="7"/>
        <v>0</v>
      </c>
    </row>
    <row r="36" spans="1:22" x14ac:dyDescent="0.2">
      <c r="A36" t="s">
        <v>86</v>
      </c>
      <c r="B36" t="s">
        <v>96</v>
      </c>
      <c r="C36" t="s">
        <v>84</v>
      </c>
      <c r="D36" t="s">
        <v>96</v>
      </c>
      <c r="E36" t="s">
        <v>85</v>
      </c>
      <c r="F36" t="s">
        <v>86</v>
      </c>
      <c r="I36" t="s">
        <v>230</v>
      </c>
      <c r="J36">
        <f t="shared" ref="J36:O36" si="40">COUNTIF(A:A, "*Hydroxylation*")</f>
        <v>5</v>
      </c>
      <c r="K36">
        <f t="shared" si="40"/>
        <v>1</v>
      </c>
      <c r="L36">
        <f t="shared" si="40"/>
        <v>0</v>
      </c>
      <c r="M36">
        <f t="shared" si="40"/>
        <v>2</v>
      </c>
      <c r="N36">
        <f t="shared" si="40"/>
        <v>4</v>
      </c>
      <c r="O36">
        <f t="shared" si="40"/>
        <v>0</v>
      </c>
      <c r="P36" t="s">
        <v>250</v>
      </c>
      <c r="Q36">
        <f t="shared" si="2"/>
        <v>6.4516129032258064E-3</v>
      </c>
      <c r="R36">
        <f t="shared" si="3"/>
        <v>1.8148820326678765E-3</v>
      </c>
      <c r="S36">
        <f t="shared" si="4"/>
        <v>0</v>
      </c>
      <c r="T36">
        <f t="shared" si="5"/>
        <v>1.5384615384615385E-2</v>
      </c>
      <c r="U36">
        <f t="shared" si="6"/>
        <v>1.282051282051282E-2</v>
      </c>
      <c r="V36">
        <f t="shared" si="7"/>
        <v>0</v>
      </c>
    </row>
    <row r="37" spans="1:22" x14ac:dyDescent="0.2">
      <c r="A37" t="s">
        <v>84</v>
      </c>
      <c r="B37" t="s">
        <v>86</v>
      </c>
      <c r="C37" t="s">
        <v>115</v>
      </c>
      <c r="D37" t="s">
        <v>95</v>
      </c>
      <c r="E37" t="s">
        <v>92</v>
      </c>
      <c r="F37" t="s">
        <v>105</v>
      </c>
      <c r="I37" t="s">
        <v>231</v>
      </c>
      <c r="J37">
        <f t="shared" ref="J37:O37" si="41">COUNTIF(A:A, "*Replacement of proton with ammonium ion*")</f>
        <v>2</v>
      </c>
      <c r="K37">
        <f t="shared" si="41"/>
        <v>0</v>
      </c>
      <c r="L37">
        <f t="shared" si="41"/>
        <v>0</v>
      </c>
      <c r="M37">
        <f t="shared" si="41"/>
        <v>2</v>
      </c>
      <c r="N37">
        <f t="shared" si="41"/>
        <v>2</v>
      </c>
      <c r="O37">
        <f t="shared" si="41"/>
        <v>1</v>
      </c>
      <c r="P37" t="s">
        <v>88</v>
      </c>
      <c r="Q37">
        <f t="shared" si="2"/>
        <v>2.5806451612903226E-3</v>
      </c>
      <c r="R37">
        <f t="shared" si="3"/>
        <v>0</v>
      </c>
      <c r="S37">
        <f t="shared" si="4"/>
        <v>0</v>
      </c>
      <c r="T37">
        <f t="shared" si="5"/>
        <v>1.5384615384615385E-2</v>
      </c>
      <c r="U37">
        <f t="shared" si="6"/>
        <v>6.41025641025641E-3</v>
      </c>
      <c r="V37">
        <f t="shared" si="7"/>
        <v>4.9261083743842365E-3</v>
      </c>
    </row>
    <row r="38" spans="1:22" x14ac:dyDescent="0.2">
      <c r="A38" t="s">
        <v>86</v>
      </c>
      <c r="B38" t="s">
        <v>103</v>
      </c>
      <c r="C38" t="s">
        <v>146</v>
      </c>
      <c r="D38" t="s">
        <v>94</v>
      </c>
      <c r="E38" t="s">
        <v>92</v>
      </c>
      <c r="F38" t="s">
        <v>83</v>
      </c>
      <c r="I38" t="s">
        <v>232</v>
      </c>
      <c r="J38">
        <f t="shared" ref="J38:O38" si="42">COUNTIF(A:A, "*Replacement of 2 protons by magnesium*")</f>
        <v>1</v>
      </c>
      <c r="K38">
        <f t="shared" si="42"/>
        <v>1</v>
      </c>
      <c r="L38">
        <f t="shared" si="42"/>
        <v>0</v>
      </c>
      <c r="M38">
        <f t="shared" si="42"/>
        <v>0</v>
      </c>
      <c r="N38">
        <f t="shared" si="42"/>
        <v>0</v>
      </c>
      <c r="O38">
        <f t="shared" si="42"/>
        <v>0</v>
      </c>
      <c r="P38" t="s">
        <v>155</v>
      </c>
      <c r="Q38">
        <f t="shared" si="2"/>
        <v>1.2903225806451613E-3</v>
      </c>
      <c r="R38">
        <f t="shared" si="3"/>
        <v>1.8148820326678765E-3</v>
      </c>
      <c r="S38">
        <f t="shared" si="4"/>
        <v>0</v>
      </c>
      <c r="T38">
        <f t="shared" si="5"/>
        <v>0</v>
      </c>
      <c r="U38">
        <f t="shared" si="6"/>
        <v>0</v>
      </c>
      <c r="V38">
        <f t="shared" si="7"/>
        <v>0</v>
      </c>
    </row>
    <row r="39" spans="1:22" x14ac:dyDescent="0.2">
      <c r="A39" t="s">
        <v>96</v>
      </c>
      <c r="B39" t="s">
        <v>96</v>
      </c>
      <c r="C39" t="s">
        <v>95</v>
      </c>
      <c r="D39" t="s">
        <v>85</v>
      </c>
      <c r="E39" t="s">
        <v>87</v>
      </c>
      <c r="F39" t="s">
        <v>89</v>
      </c>
      <c r="I39" t="s">
        <v>233</v>
      </c>
      <c r="J39">
        <f t="shared" ref="J39:O39" si="43">COUNTIF(A:A, "*Menadione hydroquinone derivative*")</f>
        <v>0</v>
      </c>
      <c r="K39">
        <f t="shared" si="43"/>
        <v>0</v>
      </c>
      <c r="L39">
        <f t="shared" si="43"/>
        <v>2</v>
      </c>
      <c r="M39">
        <f t="shared" si="43"/>
        <v>0</v>
      </c>
      <c r="N39">
        <f t="shared" si="43"/>
        <v>0</v>
      </c>
      <c r="O39">
        <f t="shared" si="43"/>
        <v>0</v>
      </c>
      <c r="P39" t="s">
        <v>169</v>
      </c>
      <c r="Q39">
        <f t="shared" si="2"/>
        <v>0</v>
      </c>
      <c r="R39">
        <f t="shared" si="3"/>
        <v>0</v>
      </c>
      <c r="S39">
        <f t="shared" si="4"/>
        <v>1.8867924528301886E-2</v>
      </c>
      <c r="T39">
        <f t="shared" si="5"/>
        <v>0</v>
      </c>
      <c r="U39">
        <f t="shared" si="6"/>
        <v>0</v>
      </c>
      <c r="V39">
        <f t="shared" si="7"/>
        <v>0</v>
      </c>
    </row>
    <row r="40" spans="1:22" x14ac:dyDescent="0.2">
      <c r="A40" t="s">
        <v>96</v>
      </c>
      <c r="B40" t="s">
        <v>86</v>
      </c>
      <c r="C40" t="s">
        <v>83</v>
      </c>
      <c r="D40" t="s">
        <v>83</v>
      </c>
      <c r="E40" t="s">
        <v>86</v>
      </c>
      <c r="F40" t="s">
        <v>96</v>
      </c>
      <c r="I40" t="s">
        <v>197</v>
      </c>
      <c r="J40">
        <f t="shared" ref="J40:O40" si="44">SUM(J2:J39)</f>
        <v>775</v>
      </c>
      <c r="K40">
        <f t="shared" si="44"/>
        <v>551</v>
      </c>
      <c r="L40">
        <f t="shared" si="44"/>
        <v>106</v>
      </c>
      <c r="M40">
        <f t="shared" si="44"/>
        <v>130</v>
      </c>
      <c r="N40">
        <f t="shared" si="44"/>
        <v>312</v>
      </c>
      <c r="O40">
        <f t="shared" si="44"/>
        <v>203</v>
      </c>
      <c r="P40" t="s">
        <v>251</v>
      </c>
      <c r="Q40">
        <f>SUM(Q2:Q39)</f>
        <v>1.0000000000000002</v>
      </c>
      <c r="R40">
        <f t="shared" ref="R40:V40" si="45">SUM(R2:R39)</f>
        <v>1</v>
      </c>
      <c r="S40">
        <f t="shared" si="45"/>
        <v>0.99999999999999989</v>
      </c>
      <c r="T40">
        <f t="shared" si="45"/>
        <v>0.99999999999999978</v>
      </c>
      <c r="U40">
        <f t="shared" si="45"/>
        <v>0.99999999999999989</v>
      </c>
      <c r="V40">
        <f t="shared" si="45"/>
        <v>0.99999999999999989</v>
      </c>
    </row>
    <row r="41" spans="1:22" x14ac:dyDescent="0.2">
      <c r="A41" t="s">
        <v>101</v>
      </c>
      <c r="B41" t="s">
        <v>87</v>
      </c>
      <c r="C41" t="s">
        <v>153</v>
      </c>
      <c r="D41" t="s">
        <v>85</v>
      </c>
      <c r="E41" t="s">
        <v>93</v>
      </c>
      <c r="F41" t="s">
        <v>85</v>
      </c>
      <c r="I41" t="s">
        <v>198</v>
      </c>
      <c r="J41">
        <v>582</v>
      </c>
      <c r="K41">
        <v>401</v>
      </c>
      <c r="L41">
        <v>88</v>
      </c>
      <c r="M41">
        <v>102</v>
      </c>
      <c r="N41">
        <v>228</v>
      </c>
      <c r="O41">
        <v>150</v>
      </c>
    </row>
    <row r="42" spans="1:22" x14ac:dyDescent="0.2">
      <c r="A42" t="s">
        <v>123</v>
      </c>
      <c r="B42" t="s">
        <v>141</v>
      </c>
      <c r="C42" t="s">
        <v>95</v>
      </c>
      <c r="D42" t="s">
        <v>96</v>
      </c>
      <c r="E42" t="s">
        <v>85</v>
      </c>
      <c r="F42" t="s">
        <v>96</v>
      </c>
      <c r="I42" t="s">
        <v>199</v>
      </c>
      <c r="J42">
        <v>2220</v>
      </c>
      <c r="K42">
        <v>1824</v>
      </c>
      <c r="L42">
        <v>491</v>
      </c>
      <c r="M42">
        <v>393</v>
      </c>
      <c r="N42">
        <v>967</v>
      </c>
      <c r="O42">
        <v>726</v>
      </c>
    </row>
    <row r="43" spans="1:22" x14ac:dyDescent="0.2">
      <c r="A43" t="s">
        <v>171</v>
      </c>
      <c r="B43" t="s">
        <v>83</v>
      </c>
      <c r="C43" t="s">
        <v>167</v>
      </c>
      <c r="D43" t="s">
        <v>105</v>
      </c>
      <c r="E43" t="s">
        <v>94</v>
      </c>
      <c r="F43" t="s">
        <v>86</v>
      </c>
      <c r="I43" t="s">
        <v>200</v>
      </c>
      <c r="J43">
        <f>J41/J42</f>
        <v>0.26216216216216215</v>
      </c>
      <c r="K43">
        <f t="shared" ref="K43:O43" si="46">K41/K42</f>
        <v>0.21984649122807018</v>
      </c>
      <c r="L43">
        <f t="shared" si="46"/>
        <v>0.17922606924643583</v>
      </c>
      <c r="M43">
        <f t="shared" si="46"/>
        <v>0.25954198473282442</v>
      </c>
      <c r="N43">
        <f t="shared" si="46"/>
        <v>0.23578076525336092</v>
      </c>
      <c r="O43">
        <f t="shared" si="46"/>
        <v>0.20661157024793389</v>
      </c>
    </row>
    <row r="44" spans="1:22" x14ac:dyDescent="0.2">
      <c r="A44" t="s">
        <v>123</v>
      </c>
      <c r="B44" t="s">
        <v>84</v>
      </c>
      <c r="C44" t="s">
        <v>96</v>
      </c>
      <c r="D44" t="s">
        <v>88</v>
      </c>
      <c r="E44" t="s">
        <v>87</v>
      </c>
      <c r="F44" t="s">
        <v>86</v>
      </c>
    </row>
    <row r="45" spans="1:22" x14ac:dyDescent="0.2">
      <c r="A45" t="s">
        <v>96</v>
      </c>
      <c r="B45" t="s">
        <v>95</v>
      </c>
      <c r="C45" t="s">
        <v>86</v>
      </c>
      <c r="D45" t="s">
        <v>86</v>
      </c>
      <c r="E45" t="s">
        <v>87</v>
      </c>
      <c r="F45" t="s">
        <v>86</v>
      </c>
    </row>
    <row r="46" spans="1:22" x14ac:dyDescent="0.2">
      <c r="A46" t="s">
        <v>95</v>
      </c>
      <c r="B46" t="s">
        <v>92</v>
      </c>
      <c r="C46" t="s">
        <v>168</v>
      </c>
      <c r="D46" t="s">
        <v>96</v>
      </c>
      <c r="E46" t="s">
        <v>95</v>
      </c>
      <c r="F46" t="s">
        <v>86</v>
      </c>
    </row>
    <row r="47" spans="1:22" x14ac:dyDescent="0.2">
      <c r="A47" t="s">
        <v>96</v>
      </c>
      <c r="B47" t="s">
        <v>85</v>
      </c>
      <c r="C47" t="s">
        <v>123</v>
      </c>
      <c r="D47" t="s">
        <v>123</v>
      </c>
      <c r="E47" t="s">
        <v>85</v>
      </c>
      <c r="F47" t="s">
        <v>83</v>
      </c>
    </row>
    <row r="48" spans="1:22" x14ac:dyDescent="0.2">
      <c r="A48" t="s">
        <v>171</v>
      </c>
      <c r="B48" t="s">
        <v>96</v>
      </c>
      <c r="C48" t="s">
        <v>122</v>
      </c>
      <c r="D48" t="s">
        <v>96</v>
      </c>
      <c r="E48" t="s">
        <v>83</v>
      </c>
      <c r="F48" t="s">
        <v>86</v>
      </c>
    </row>
    <row r="49" spans="1:6" x14ac:dyDescent="0.2">
      <c r="A49" t="s">
        <v>123</v>
      </c>
      <c r="B49" t="s">
        <v>86</v>
      </c>
      <c r="C49" t="s">
        <v>122</v>
      </c>
      <c r="D49" t="s">
        <v>118</v>
      </c>
      <c r="E49" t="s">
        <v>96</v>
      </c>
      <c r="F49" t="s">
        <v>96</v>
      </c>
    </row>
    <row r="50" spans="1:6" x14ac:dyDescent="0.2">
      <c r="A50" t="s">
        <v>96</v>
      </c>
      <c r="B50" t="s">
        <v>83</v>
      </c>
      <c r="C50" t="s">
        <v>96</v>
      </c>
      <c r="D50" t="s">
        <v>118</v>
      </c>
      <c r="E50" t="s">
        <v>85</v>
      </c>
      <c r="F50" t="s">
        <v>86</v>
      </c>
    </row>
    <row r="51" spans="1:6" x14ac:dyDescent="0.2">
      <c r="A51" t="s">
        <v>86</v>
      </c>
      <c r="B51" t="s">
        <v>142</v>
      </c>
      <c r="C51" t="s">
        <v>83</v>
      </c>
      <c r="D51" t="s">
        <v>96</v>
      </c>
      <c r="E51" t="s">
        <v>87</v>
      </c>
      <c r="F51" t="s">
        <v>96</v>
      </c>
    </row>
    <row r="52" spans="1:6" x14ac:dyDescent="0.2">
      <c r="A52" t="s">
        <v>84</v>
      </c>
      <c r="B52" t="s">
        <v>86</v>
      </c>
      <c r="C52" t="s">
        <v>83</v>
      </c>
      <c r="D52" t="s">
        <v>100</v>
      </c>
      <c r="E52" t="s">
        <v>85</v>
      </c>
      <c r="F52" t="s">
        <v>86</v>
      </c>
    </row>
    <row r="53" spans="1:6" x14ac:dyDescent="0.2">
      <c r="A53" t="s">
        <v>84</v>
      </c>
      <c r="B53" t="s">
        <v>84</v>
      </c>
      <c r="C53" t="s">
        <v>115</v>
      </c>
      <c r="D53" t="s">
        <v>86</v>
      </c>
      <c r="E53" t="s">
        <v>87</v>
      </c>
      <c r="F53" t="s">
        <v>96</v>
      </c>
    </row>
    <row r="54" spans="1:6" x14ac:dyDescent="0.2">
      <c r="A54" t="s">
        <v>92</v>
      </c>
      <c r="B54" t="s">
        <v>84</v>
      </c>
      <c r="C54" t="s">
        <v>98</v>
      </c>
      <c r="D54" t="s">
        <v>96</v>
      </c>
      <c r="E54" t="s">
        <v>97</v>
      </c>
      <c r="F54" t="s">
        <v>101</v>
      </c>
    </row>
    <row r="55" spans="1:6" x14ac:dyDescent="0.2">
      <c r="A55" t="s">
        <v>96</v>
      </c>
      <c r="B55" t="s">
        <v>108</v>
      </c>
      <c r="C55" t="s">
        <v>96</v>
      </c>
      <c r="D55" t="s">
        <v>85</v>
      </c>
      <c r="E55" t="s">
        <v>85</v>
      </c>
      <c r="F55" t="s">
        <v>87</v>
      </c>
    </row>
    <row r="56" spans="1:6" x14ac:dyDescent="0.2">
      <c r="A56" t="s">
        <v>96</v>
      </c>
      <c r="B56" t="s">
        <v>86</v>
      </c>
      <c r="C56" t="s">
        <v>98</v>
      </c>
      <c r="D56" t="s">
        <v>115</v>
      </c>
      <c r="E56" t="s">
        <v>96</v>
      </c>
      <c r="F56" t="s">
        <v>87</v>
      </c>
    </row>
    <row r="57" spans="1:6" x14ac:dyDescent="0.2">
      <c r="A57" t="s">
        <v>140</v>
      </c>
      <c r="B57" t="s">
        <v>143</v>
      </c>
      <c r="C57" t="s">
        <v>96</v>
      </c>
      <c r="D57" t="s">
        <v>87</v>
      </c>
      <c r="E57" t="s">
        <v>85</v>
      </c>
      <c r="F57" t="s">
        <v>86</v>
      </c>
    </row>
    <row r="58" spans="1:6" x14ac:dyDescent="0.2">
      <c r="A58" t="s">
        <v>95</v>
      </c>
      <c r="B58" t="s">
        <v>86</v>
      </c>
      <c r="C58" t="s">
        <v>86</v>
      </c>
      <c r="D58" t="s">
        <v>124</v>
      </c>
      <c r="E58" t="s">
        <v>96</v>
      </c>
      <c r="F58" t="s">
        <v>86</v>
      </c>
    </row>
    <row r="59" spans="1:6" x14ac:dyDescent="0.2">
      <c r="A59" t="s">
        <v>84</v>
      </c>
      <c r="B59" t="s">
        <v>92</v>
      </c>
      <c r="C59" t="s">
        <v>85</v>
      </c>
      <c r="D59" t="s">
        <v>125</v>
      </c>
      <c r="E59" t="s">
        <v>85</v>
      </c>
      <c r="F59" t="s">
        <v>86</v>
      </c>
    </row>
    <row r="60" spans="1:6" x14ac:dyDescent="0.2">
      <c r="A60" t="s">
        <v>84</v>
      </c>
      <c r="B60" t="s">
        <v>92</v>
      </c>
      <c r="C60" t="s">
        <v>85</v>
      </c>
      <c r="D60" t="s">
        <v>86</v>
      </c>
      <c r="E60" t="s">
        <v>86</v>
      </c>
      <c r="F60" t="s">
        <v>85</v>
      </c>
    </row>
    <row r="61" spans="1:6" x14ac:dyDescent="0.2">
      <c r="A61" t="s">
        <v>115</v>
      </c>
      <c r="B61" t="s">
        <v>144</v>
      </c>
      <c r="C61" t="s">
        <v>84</v>
      </c>
      <c r="D61" t="s">
        <v>96</v>
      </c>
      <c r="E61" t="s">
        <v>98</v>
      </c>
      <c r="F61" t="s">
        <v>100</v>
      </c>
    </row>
    <row r="62" spans="1:6" x14ac:dyDescent="0.2">
      <c r="A62" t="s">
        <v>86</v>
      </c>
      <c r="B62" t="s">
        <v>108</v>
      </c>
      <c r="C62" t="s">
        <v>108</v>
      </c>
      <c r="D62" t="s">
        <v>117</v>
      </c>
      <c r="E62" t="s">
        <v>85</v>
      </c>
      <c r="F62" t="s">
        <v>133</v>
      </c>
    </row>
    <row r="63" spans="1:6" x14ac:dyDescent="0.2">
      <c r="A63" t="s">
        <v>92</v>
      </c>
      <c r="B63" t="s">
        <v>96</v>
      </c>
      <c r="C63" t="s">
        <v>95</v>
      </c>
      <c r="D63" t="s">
        <v>126</v>
      </c>
      <c r="E63" t="s">
        <v>85</v>
      </c>
      <c r="F63" t="s">
        <v>96</v>
      </c>
    </row>
    <row r="64" spans="1:6" x14ac:dyDescent="0.2">
      <c r="A64" t="s">
        <v>86</v>
      </c>
      <c r="B64" t="s">
        <v>84</v>
      </c>
      <c r="C64" t="s">
        <v>86</v>
      </c>
      <c r="D64" t="s">
        <v>108</v>
      </c>
      <c r="E64" t="s">
        <v>94</v>
      </c>
      <c r="F64" t="s">
        <v>86</v>
      </c>
    </row>
    <row r="65" spans="1:6" x14ac:dyDescent="0.2">
      <c r="A65" t="s">
        <v>89</v>
      </c>
      <c r="B65" t="s">
        <v>86</v>
      </c>
      <c r="C65" t="s">
        <v>169</v>
      </c>
      <c r="D65" t="s">
        <v>108</v>
      </c>
      <c r="E65" t="s">
        <v>99</v>
      </c>
      <c r="F65" t="s">
        <v>84</v>
      </c>
    </row>
    <row r="66" spans="1:6" x14ac:dyDescent="0.2">
      <c r="A66" t="s">
        <v>95</v>
      </c>
      <c r="B66" t="s">
        <v>96</v>
      </c>
      <c r="C66" t="s">
        <v>86</v>
      </c>
      <c r="D66" t="s">
        <v>96</v>
      </c>
      <c r="E66" t="s">
        <v>86</v>
      </c>
      <c r="F66" t="s">
        <v>96</v>
      </c>
    </row>
    <row r="67" spans="1:6" x14ac:dyDescent="0.2">
      <c r="A67" t="s">
        <v>86</v>
      </c>
      <c r="B67" t="s">
        <v>96</v>
      </c>
      <c r="C67" t="s">
        <v>169</v>
      </c>
      <c r="D67" t="s">
        <v>96</v>
      </c>
      <c r="E67" t="s">
        <v>86</v>
      </c>
      <c r="F67" t="s">
        <v>84</v>
      </c>
    </row>
    <row r="68" spans="1:6" x14ac:dyDescent="0.2">
      <c r="A68" t="s">
        <v>86</v>
      </c>
      <c r="B68" t="s">
        <v>83</v>
      </c>
      <c r="C68" t="s">
        <v>96</v>
      </c>
      <c r="D68" t="s">
        <v>96</v>
      </c>
      <c r="E68" t="s">
        <v>86</v>
      </c>
      <c r="F68" t="s">
        <v>83</v>
      </c>
    </row>
    <row r="69" spans="1:6" x14ac:dyDescent="0.2">
      <c r="A69" t="s">
        <v>96</v>
      </c>
      <c r="B69" t="s">
        <v>86</v>
      </c>
      <c r="C69" t="s">
        <v>96</v>
      </c>
      <c r="D69" t="s">
        <v>86</v>
      </c>
      <c r="E69" t="s">
        <v>85</v>
      </c>
      <c r="F69" t="s">
        <v>85</v>
      </c>
    </row>
    <row r="70" spans="1:6" x14ac:dyDescent="0.2">
      <c r="A70" t="s">
        <v>86</v>
      </c>
      <c r="B70" t="s">
        <v>145</v>
      </c>
      <c r="C70" t="s">
        <v>96</v>
      </c>
      <c r="D70" t="s">
        <v>86</v>
      </c>
      <c r="E70" t="s">
        <v>85</v>
      </c>
      <c r="F70" t="s">
        <v>86</v>
      </c>
    </row>
    <row r="71" spans="1:6" x14ac:dyDescent="0.2">
      <c r="A71" t="s">
        <v>86</v>
      </c>
      <c r="B71" t="s">
        <v>89</v>
      </c>
      <c r="C71" t="s">
        <v>96</v>
      </c>
      <c r="D71" t="s">
        <v>87</v>
      </c>
      <c r="E71" t="s">
        <v>96</v>
      </c>
      <c r="F71" t="s">
        <v>86</v>
      </c>
    </row>
    <row r="72" spans="1:6" x14ac:dyDescent="0.2">
      <c r="A72" t="s">
        <v>86</v>
      </c>
      <c r="B72" t="s">
        <v>95</v>
      </c>
      <c r="C72" t="s">
        <v>96</v>
      </c>
      <c r="D72" t="s">
        <v>99</v>
      </c>
      <c r="E72" t="s">
        <v>96</v>
      </c>
      <c r="F72" t="s">
        <v>85</v>
      </c>
    </row>
    <row r="73" spans="1:6" x14ac:dyDescent="0.2">
      <c r="A73" t="s">
        <v>86</v>
      </c>
      <c r="B73" t="s">
        <v>83</v>
      </c>
      <c r="C73" t="s">
        <v>96</v>
      </c>
      <c r="D73" t="s">
        <v>87</v>
      </c>
      <c r="E73" t="s">
        <v>85</v>
      </c>
      <c r="F73" t="s">
        <v>96</v>
      </c>
    </row>
    <row r="74" spans="1:6" x14ac:dyDescent="0.2">
      <c r="A74" t="s">
        <v>96</v>
      </c>
      <c r="B74" t="s">
        <v>118</v>
      </c>
      <c r="C74" t="s">
        <v>96</v>
      </c>
      <c r="D74" t="s">
        <v>127</v>
      </c>
      <c r="E74" t="s">
        <v>98</v>
      </c>
      <c r="F74" t="s">
        <v>85</v>
      </c>
    </row>
    <row r="75" spans="1:6" x14ac:dyDescent="0.2">
      <c r="A75" t="s">
        <v>86</v>
      </c>
      <c r="B75" t="s">
        <v>83</v>
      </c>
      <c r="C75" t="s">
        <v>85</v>
      </c>
      <c r="D75" t="s">
        <v>86</v>
      </c>
      <c r="E75" t="s">
        <v>86</v>
      </c>
      <c r="F75" t="s">
        <v>96</v>
      </c>
    </row>
    <row r="76" spans="1:6" x14ac:dyDescent="0.2">
      <c r="A76" t="s">
        <v>86</v>
      </c>
      <c r="B76" t="s">
        <v>86</v>
      </c>
      <c r="D76" t="s">
        <v>86</v>
      </c>
      <c r="E76" t="s">
        <v>99</v>
      </c>
      <c r="F76" t="s">
        <v>85</v>
      </c>
    </row>
    <row r="77" spans="1:6" x14ac:dyDescent="0.2">
      <c r="A77" t="s">
        <v>84</v>
      </c>
      <c r="B77" t="s">
        <v>87</v>
      </c>
      <c r="D77" t="s">
        <v>86</v>
      </c>
      <c r="E77" t="s">
        <v>100</v>
      </c>
      <c r="F77" t="s">
        <v>86</v>
      </c>
    </row>
    <row r="78" spans="1:6" x14ac:dyDescent="0.2">
      <c r="A78" t="s">
        <v>100</v>
      </c>
      <c r="B78" t="s">
        <v>86</v>
      </c>
      <c r="D78" t="s">
        <v>128</v>
      </c>
      <c r="E78" t="s">
        <v>90</v>
      </c>
      <c r="F78" t="s">
        <v>96</v>
      </c>
    </row>
    <row r="79" spans="1:6" x14ac:dyDescent="0.2">
      <c r="A79" t="s">
        <v>86</v>
      </c>
      <c r="B79" t="s">
        <v>100</v>
      </c>
      <c r="D79" t="s">
        <v>96</v>
      </c>
      <c r="E79" t="s">
        <v>86</v>
      </c>
      <c r="F79" t="s">
        <v>134</v>
      </c>
    </row>
    <row r="80" spans="1:6" x14ac:dyDescent="0.2">
      <c r="A80" t="s">
        <v>96</v>
      </c>
      <c r="B80" t="s">
        <v>86</v>
      </c>
      <c r="D80" t="s">
        <v>85</v>
      </c>
      <c r="E80" t="s">
        <v>86</v>
      </c>
      <c r="F80" t="s">
        <v>135</v>
      </c>
    </row>
    <row r="81" spans="1:6" x14ac:dyDescent="0.2">
      <c r="A81" t="s">
        <v>172</v>
      </c>
      <c r="B81" t="s">
        <v>83</v>
      </c>
      <c r="D81" t="s">
        <v>96</v>
      </c>
      <c r="E81" t="s">
        <v>86</v>
      </c>
      <c r="F81" t="s">
        <v>96</v>
      </c>
    </row>
    <row r="82" spans="1:6" x14ac:dyDescent="0.2">
      <c r="A82" t="s">
        <v>86</v>
      </c>
      <c r="B82" t="s">
        <v>92</v>
      </c>
      <c r="D82" t="s">
        <v>129</v>
      </c>
      <c r="E82" t="s">
        <v>94</v>
      </c>
      <c r="F82" t="s">
        <v>85</v>
      </c>
    </row>
    <row r="83" spans="1:6" x14ac:dyDescent="0.2">
      <c r="A83" t="s">
        <v>96</v>
      </c>
      <c r="B83" t="s">
        <v>146</v>
      </c>
      <c r="D83" t="s">
        <v>83</v>
      </c>
      <c r="E83" t="s">
        <v>96</v>
      </c>
      <c r="F83" t="s">
        <v>89</v>
      </c>
    </row>
    <row r="84" spans="1:6" x14ac:dyDescent="0.2">
      <c r="A84" t="s">
        <v>86</v>
      </c>
      <c r="B84" t="s">
        <v>133</v>
      </c>
      <c r="D84" t="s">
        <v>86</v>
      </c>
      <c r="E84" t="s">
        <v>85</v>
      </c>
      <c r="F84" t="s">
        <v>85</v>
      </c>
    </row>
    <row r="85" spans="1:6" x14ac:dyDescent="0.2">
      <c r="A85" t="s">
        <v>96</v>
      </c>
      <c r="B85" t="s">
        <v>86</v>
      </c>
      <c r="D85" t="s">
        <v>89</v>
      </c>
      <c r="E85" t="s">
        <v>101</v>
      </c>
      <c r="F85" t="s">
        <v>86</v>
      </c>
    </row>
    <row r="86" spans="1:6" x14ac:dyDescent="0.2">
      <c r="A86" t="s">
        <v>96</v>
      </c>
      <c r="B86" t="s">
        <v>87</v>
      </c>
      <c r="D86" t="s">
        <v>96</v>
      </c>
      <c r="E86" t="s">
        <v>85</v>
      </c>
      <c r="F86" t="s">
        <v>85</v>
      </c>
    </row>
    <row r="87" spans="1:6" x14ac:dyDescent="0.2">
      <c r="A87" t="s">
        <v>97</v>
      </c>
      <c r="B87" t="s">
        <v>147</v>
      </c>
      <c r="D87" t="s">
        <v>89</v>
      </c>
      <c r="E87" t="s">
        <v>86</v>
      </c>
      <c r="F87" t="s">
        <v>96</v>
      </c>
    </row>
    <row r="88" spans="1:6" x14ac:dyDescent="0.2">
      <c r="A88" t="s">
        <v>96</v>
      </c>
      <c r="B88" t="s">
        <v>92</v>
      </c>
      <c r="D88" t="s">
        <v>130</v>
      </c>
      <c r="E88" t="s">
        <v>89</v>
      </c>
      <c r="F88" t="s">
        <v>85</v>
      </c>
    </row>
    <row r="89" spans="1:6" x14ac:dyDescent="0.2">
      <c r="A89" t="s">
        <v>86</v>
      </c>
      <c r="B89" t="s">
        <v>96</v>
      </c>
      <c r="D89" t="s">
        <v>96</v>
      </c>
      <c r="E89" t="s">
        <v>85</v>
      </c>
      <c r="F89" t="s">
        <v>96</v>
      </c>
    </row>
    <row r="90" spans="1:6" x14ac:dyDescent="0.2">
      <c r="A90" t="s">
        <v>87</v>
      </c>
      <c r="B90" t="s">
        <v>83</v>
      </c>
      <c r="E90" t="s">
        <v>96</v>
      </c>
      <c r="F90" t="s">
        <v>102</v>
      </c>
    </row>
    <row r="91" spans="1:6" x14ac:dyDescent="0.2">
      <c r="A91" t="s">
        <v>95</v>
      </c>
      <c r="B91" t="s">
        <v>83</v>
      </c>
      <c r="E91" t="s">
        <v>85</v>
      </c>
      <c r="F91" t="s">
        <v>84</v>
      </c>
    </row>
    <row r="92" spans="1:6" x14ac:dyDescent="0.2">
      <c r="A92" t="s">
        <v>86</v>
      </c>
      <c r="B92" t="s">
        <v>86</v>
      </c>
      <c r="E92" t="s">
        <v>86</v>
      </c>
      <c r="F92" t="s">
        <v>84</v>
      </c>
    </row>
    <row r="93" spans="1:6" x14ac:dyDescent="0.2">
      <c r="A93" t="s">
        <v>96</v>
      </c>
      <c r="B93" t="s">
        <v>86</v>
      </c>
      <c r="E93" t="s">
        <v>86</v>
      </c>
      <c r="F93" t="s">
        <v>102</v>
      </c>
    </row>
    <row r="94" spans="1:6" x14ac:dyDescent="0.2">
      <c r="A94" t="s">
        <v>96</v>
      </c>
      <c r="B94" t="s">
        <v>96</v>
      </c>
      <c r="E94" t="s">
        <v>86</v>
      </c>
      <c r="F94" t="s">
        <v>96</v>
      </c>
    </row>
    <row r="95" spans="1:6" x14ac:dyDescent="0.2">
      <c r="A95" t="s">
        <v>84</v>
      </c>
      <c r="B95" t="s">
        <v>86</v>
      </c>
      <c r="E95" t="s">
        <v>96</v>
      </c>
      <c r="F95" t="s">
        <v>86</v>
      </c>
    </row>
    <row r="96" spans="1:6" x14ac:dyDescent="0.2">
      <c r="A96" t="s">
        <v>86</v>
      </c>
      <c r="B96" t="s">
        <v>101</v>
      </c>
      <c r="E96" t="s">
        <v>96</v>
      </c>
      <c r="F96" t="s">
        <v>96</v>
      </c>
    </row>
    <row r="97" spans="1:6" x14ac:dyDescent="0.2">
      <c r="A97" t="s">
        <v>173</v>
      </c>
      <c r="B97" t="s">
        <v>83</v>
      </c>
      <c r="E97" t="s">
        <v>96</v>
      </c>
      <c r="F97" t="s">
        <v>101</v>
      </c>
    </row>
    <row r="98" spans="1:6" x14ac:dyDescent="0.2">
      <c r="A98" t="s">
        <v>174</v>
      </c>
      <c r="B98" t="s">
        <v>115</v>
      </c>
      <c r="E98" t="s">
        <v>102</v>
      </c>
      <c r="F98" t="s">
        <v>96</v>
      </c>
    </row>
    <row r="99" spans="1:6" x14ac:dyDescent="0.2">
      <c r="A99" t="s">
        <v>128</v>
      </c>
      <c r="B99" t="s">
        <v>148</v>
      </c>
      <c r="E99" t="s">
        <v>86</v>
      </c>
      <c r="F99" t="s">
        <v>96</v>
      </c>
    </row>
    <row r="100" spans="1:6" x14ac:dyDescent="0.2">
      <c r="A100" t="s">
        <v>96</v>
      </c>
      <c r="B100" t="s">
        <v>99</v>
      </c>
      <c r="E100" t="s">
        <v>103</v>
      </c>
      <c r="F100" t="s">
        <v>108</v>
      </c>
    </row>
    <row r="101" spans="1:6" x14ac:dyDescent="0.2">
      <c r="A101" t="s">
        <v>96</v>
      </c>
      <c r="B101" t="s">
        <v>86</v>
      </c>
      <c r="E101" t="s">
        <v>103</v>
      </c>
      <c r="F101" t="s">
        <v>96</v>
      </c>
    </row>
    <row r="102" spans="1:6" x14ac:dyDescent="0.2">
      <c r="A102" t="s">
        <v>91</v>
      </c>
      <c r="B102" t="s">
        <v>85</v>
      </c>
      <c r="E102" t="s">
        <v>85</v>
      </c>
      <c r="F102" t="s">
        <v>96</v>
      </c>
    </row>
    <row r="103" spans="1:6" x14ac:dyDescent="0.2">
      <c r="A103" t="s">
        <v>96</v>
      </c>
      <c r="B103" t="s">
        <v>83</v>
      </c>
      <c r="E103" t="s">
        <v>102</v>
      </c>
      <c r="F103" t="s">
        <v>85</v>
      </c>
    </row>
    <row r="104" spans="1:6" x14ac:dyDescent="0.2">
      <c r="A104" t="s">
        <v>92</v>
      </c>
      <c r="B104" t="s">
        <v>86</v>
      </c>
      <c r="E104" t="s">
        <v>89</v>
      </c>
      <c r="F104" t="s">
        <v>123</v>
      </c>
    </row>
    <row r="105" spans="1:6" x14ac:dyDescent="0.2">
      <c r="A105" t="s">
        <v>92</v>
      </c>
      <c r="B105" t="s">
        <v>96</v>
      </c>
      <c r="E105" t="s">
        <v>104</v>
      </c>
      <c r="F105" t="s">
        <v>96</v>
      </c>
    </row>
    <row r="106" spans="1:6" x14ac:dyDescent="0.2">
      <c r="A106" t="s">
        <v>83</v>
      </c>
      <c r="B106" t="s">
        <v>83</v>
      </c>
      <c r="E106" t="s">
        <v>96</v>
      </c>
      <c r="F106" t="s">
        <v>96</v>
      </c>
    </row>
    <row r="107" spans="1:6" x14ac:dyDescent="0.2">
      <c r="A107" t="s">
        <v>96</v>
      </c>
      <c r="B107" t="s">
        <v>83</v>
      </c>
      <c r="E107" t="s">
        <v>94</v>
      </c>
      <c r="F107" t="s">
        <v>96</v>
      </c>
    </row>
    <row r="108" spans="1:6" x14ac:dyDescent="0.2">
      <c r="A108" t="s">
        <v>96</v>
      </c>
      <c r="B108" t="s">
        <v>86</v>
      </c>
      <c r="E108" t="s">
        <v>86</v>
      </c>
      <c r="F108" t="s">
        <v>96</v>
      </c>
    </row>
    <row r="109" spans="1:6" x14ac:dyDescent="0.2">
      <c r="A109" t="s">
        <v>96</v>
      </c>
      <c r="B109" t="s">
        <v>96</v>
      </c>
      <c r="E109" t="s">
        <v>101</v>
      </c>
      <c r="F109" t="s">
        <v>87</v>
      </c>
    </row>
    <row r="110" spans="1:6" x14ac:dyDescent="0.2">
      <c r="A110" t="s">
        <v>132</v>
      </c>
      <c r="B110" t="s">
        <v>94</v>
      </c>
      <c r="E110" t="s">
        <v>85</v>
      </c>
      <c r="F110" t="s">
        <v>98</v>
      </c>
    </row>
    <row r="111" spans="1:6" x14ac:dyDescent="0.2">
      <c r="A111" t="s">
        <v>86</v>
      </c>
      <c r="B111" t="s">
        <v>96</v>
      </c>
      <c r="E111" t="s">
        <v>102</v>
      </c>
      <c r="F111" t="s">
        <v>96</v>
      </c>
    </row>
    <row r="112" spans="1:6" x14ac:dyDescent="0.2">
      <c r="A112" t="s">
        <v>96</v>
      </c>
      <c r="B112" t="s">
        <v>85</v>
      </c>
      <c r="E112" t="s">
        <v>96</v>
      </c>
      <c r="F112" t="s">
        <v>85</v>
      </c>
    </row>
    <row r="113" spans="1:6" x14ac:dyDescent="0.2">
      <c r="A113" t="s">
        <v>96</v>
      </c>
      <c r="B113" t="s">
        <v>83</v>
      </c>
      <c r="E113" t="s">
        <v>86</v>
      </c>
      <c r="F113" t="s">
        <v>85</v>
      </c>
    </row>
    <row r="114" spans="1:6" x14ac:dyDescent="0.2">
      <c r="A114" t="s">
        <v>83</v>
      </c>
      <c r="B114" t="s">
        <v>96</v>
      </c>
      <c r="E114" t="s">
        <v>105</v>
      </c>
      <c r="F114" t="s">
        <v>96</v>
      </c>
    </row>
    <row r="115" spans="1:6" x14ac:dyDescent="0.2">
      <c r="A115" t="s">
        <v>96</v>
      </c>
      <c r="B115" t="s">
        <v>85</v>
      </c>
      <c r="E115" t="s">
        <v>85</v>
      </c>
      <c r="F115" t="s">
        <v>86</v>
      </c>
    </row>
    <row r="116" spans="1:6" x14ac:dyDescent="0.2">
      <c r="A116" t="s">
        <v>142</v>
      </c>
      <c r="B116" t="s">
        <v>85</v>
      </c>
      <c r="E116" t="s">
        <v>96</v>
      </c>
      <c r="F116" t="s">
        <v>96</v>
      </c>
    </row>
    <row r="117" spans="1:6" x14ac:dyDescent="0.2">
      <c r="A117" t="s">
        <v>96</v>
      </c>
      <c r="B117" t="s">
        <v>83</v>
      </c>
      <c r="E117" t="s">
        <v>106</v>
      </c>
      <c r="F117" t="s">
        <v>86</v>
      </c>
    </row>
    <row r="118" spans="1:6" x14ac:dyDescent="0.2">
      <c r="A118" t="s">
        <v>87</v>
      </c>
      <c r="B118" t="s">
        <v>148</v>
      </c>
      <c r="E118" t="s">
        <v>96</v>
      </c>
      <c r="F118" t="s">
        <v>96</v>
      </c>
    </row>
    <row r="119" spans="1:6" x14ac:dyDescent="0.2">
      <c r="A119" t="s">
        <v>85</v>
      </c>
      <c r="B119" t="s">
        <v>99</v>
      </c>
      <c r="E119" t="s">
        <v>96</v>
      </c>
      <c r="F119" t="s">
        <v>86</v>
      </c>
    </row>
    <row r="120" spans="1:6" x14ac:dyDescent="0.2">
      <c r="A120" t="s">
        <v>85</v>
      </c>
      <c r="B120" t="s">
        <v>86</v>
      </c>
      <c r="E120" t="s">
        <v>83</v>
      </c>
      <c r="F120" t="s">
        <v>99</v>
      </c>
    </row>
    <row r="121" spans="1:6" x14ac:dyDescent="0.2">
      <c r="A121" t="s">
        <v>87</v>
      </c>
      <c r="B121" t="s">
        <v>86</v>
      </c>
      <c r="E121" t="s">
        <v>96</v>
      </c>
      <c r="F121" t="s">
        <v>136</v>
      </c>
    </row>
    <row r="122" spans="1:6" x14ac:dyDescent="0.2">
      <c r="A122" t="s">
        <v>84</v>
      </c>
      <c r="B122" t="s">
        <v>86</v>
      </c>
      <c r="E122" t="s">
        <v>85</v>
      </c>
      <c r="F122" t="s">
        <v>85</v>
      </c>
    </row>
    <row r="123" spans="1:6" x14ac:dyDescent="0.2">
      <c r="A123" t="s">
        <v>96</v>
      </c>
      <c r="B123" t="s">
        <v>83</v>
      </c>
      <c r="E123" t="s">
        <v>96</v>
      </c>
      <c r="F123" t="s">
        <v>96</v>
      </c>
    </row>
    <row r="124" spans="1:6" x14ac:dyDescent="0.2">
      <c r="A124" t="s">
        <v>96</v>
      </c>
      <c r="B124" t="s">
        <v>85</v>
      </c>
      <c r="E124" t="s">
        <v>96</v>
      </c>
      <c r="F124" t="s">
        <v>96</v>
      </c>
    </row>
    <row r="125" spans="1:6" x14ac:dyDescent="0.2">
      <c r="A125" t="s">
        <v>91</v>
      </c>
      <c r="B125" t="s">
        <v>149</v>
      </c>
      <c r="E125" t="s">
        <v>87</v>
      </c>
      <c r="F125" t="s">
        <v>112</v>
      </c>
    </row>
    <row r="126" spans="1:6" x14ac:dyDescent="0.2">
      <c r="A126" t="s">
        <v>99</v>
      </c>
      <c r="B126" t="s">
        <v>83</v>
      </c>
      <c r="E126" t="s">
        <v>86</v>
      </c>
      <c r="F126" t="s">
        <v>85</v>
      </c>
    </row>
    <row r="127" spans="1:6" x14ac:dyDescent="0.2">
      <c r="A127" t="s">
        <v>96</v>
      </c>
      <c r="B127" t="s">
        <v>86</v>
      </c>
      <c r="E127" t="s">
        <v>96</v>
      </c>
      <c r="F127" t="s">
        <v>96</v>
      </c>
    </row>
    <row r="128" spans="1:6" x14ac:dyDescent="0.2">
      <c r="A128" t="s">
        <v>85</v>
      </c>
      <c r="B128" t="s">
        <v>86</v>
      </c>
      <c r="E128" t="s">
        <v>102</v>
      </c>
      <c r="F128" t="s">
        <v>86</v>
      </c>
    </row>
    <row r="129" spans="1:6" x14ac:dyDescent="0.2">
      <c r="A129" t="s">
        <v>89</v>
      </c>
      <c r="B129" t="s">
        <v>86</v>
      </c>
      <c r="E129" t="s">
        <v>86</v>
      </c>
      <c r="F129" t="s">
        <v>86</v>
      </c>
    </row>
    <row r="130" spans="1:6" x14ac:dyDescent="0.2">
      <c r="A130" t="s">
        <v>92</v>
      </c>
      <c r="B130" t="s">
        <v>84</v>
      </c>
      <c r="E130" t="s">
        <v>102</v>
      </c>
      <c r="F130" t="s">
        <v>96</v>
      </c>
    </row>
    <row r="131" spans="1:6" x14ac:dyDescent="0.2">
      <c r="A131" t="s">
        <v>92</v>
      </c>
      <c r="B131" t="s">
        <v>86</v>
      </c>
      <c r="E131" t="s">
        <v>85</v>
      </c>
      <c r="F131" t="s">
        <v>137</v>
      </c>
    </row>
    <row r="132" spans="1:6" x14ac:dyDescent="0.2">
      <c r="A132" t="s">
        <v>94</v>
      </c>
      <c r="B132" t="s">
        <v>96</v>
      </c>
      <c r="E132" t="s">
        <v>107</v>
      </c>
      <c r="F132" t="s">
        <v>123</v>
      </c>
    </row>
    <row r="133" spans="1:6" x14ac:dyDescent="0.2">
      <c r="A133" t="s">
        <v>99</v>
      </c>
      <c r="B133" t="s">
        <v>150</v>
      </c>
      <c r="E133" t="s">
        <v>96</v>
      </c>
      <c r="F133" t="s">
        <v>96</v>
      </c>
    </row>
    <row r="134" spans="1:6" x14ac:dyDescent="0.2">
      <c r="A134" t="s">
        <v>85</v>
      </c>
      <c r="B134" t="s">
        <v>96</v>
      </c>
      <c r="E134" t="s">
        <v>103</v>
      </c>
      <c r="F134" t="s">
        <v>86</v>
      </c>
    </row>
    <row r="135" spans="1:6" x14ac:dyDescent="0.2">
      <c r="A135" t="s">
        <v>163</v>
      </c>
      <c r="B135" t="s">
        <v>86</v>
      </c>
      <c r="E135" t="s">
        <v>86</v>
      </c>
      <c r="F135" t="s">
        <v>138</v>
      </c>
    </row>
    <row r="136" spans="1:6" x14ac:dyDescent="0.2">
      <c r="A136" t="s">
        <v>143</v>
      </c>
      <c r="B136" t="s">
        <v>96</v>
      </c>
      <c r="E136" t="s">
        <v>103</v>
      </c>
      <c r="F136" t="s">
        <v>96</v>
      </c>
    </row>
    <row r="137" spans="1:6" x14ac:dyDescent="0.2">
      <c r="A137" t="s">
        <v>84</v>
      </c>
      <c r="B137" t="s">
        <v>123</v>
      </c>
      <c r="E137" t="s">
        <v>96</v>
      </c>
      <c r="F137" t="s">
        <v>96</v>
      </c>
    </row>
    <row r="138" spans="1:6" x14ac:dyDescent="0.2">
      <c r="A138" t="s">
        <v>85</v>
      </c>
      <c r="B138" t="s">
        <v>85</v>
      </c>
      <c r="E138" t="s">
        <v>96</v>
      </c>
      <c r="F138" t="s">
        <v>96</v>
      </c>
    </row>
    <row r="139" spans="1:6" x14ac:dyDescent="0.2">
      <c r="A139" t="s">
        <v>92</v>
      </c>
      <c r="B139" t="s">
        <v>86</v>
      </c>
      <c r="E139" t="s">
        <v>108</v>
      </c>
      <c r="F139" t="s">
        <v>112</v>
      </c>
    </row>
    <row r="140" spans="1:6" x14ac:dyDescent="0.2">
      <c r="A140" t="s">
        <v>85</v>
      </c>
      <c r="B140" t="s">
        <v>96</v>
      </c>
      <c r="E140" t="s">
        <v>103</v>
      </c>
    </row>
    <row r="141" spans="1:6" x14ac:dyDescent="0.2">
      <c r="A141" t="s">
        <v>123</v>
      </c>
      <c r="B141" t="s">
        <v>85</v>
      </c>
      <c r="E141" t="s">
        <v>96</v>
      </c>
    </row>
    <row r="142" spans="1:6" x14ac:dyDescent="0.2">
      <c r="A142" t="s">
        <v>91</v>
      </c>
      <c r="B142" t="s">
        <v>86</v>
      </c>
      <c r="E142" t="s">
        <v>96</v>
      </c>
    </row>
    <row r="143" spans="1:6" x14ac:dyDescent="0.2">
      <c r="A143" t="s">
        <v>85</v>
      </c>
      <c r="B143" t="s">
        <v>85</v>
      </c>
      <c r="E143" t="s">
        <v>96</v>
      </c>
    </row>
    <row r="144" spans="1:6" x14ac:dyDescent="0.2">
      <c r="A144" t="s">
        <v>89</v>
      </c>
      <c r="B144" t="s">
        <v>151</v>
      </c>
      <c r="E144" t="s">
        <v>96</v>
      </c>
    </row>
    <row r="145" spans="1:5" x14ac:dyDescent="0.2">
      <c r="A145" t="s">
        <v>86</v>
      </c>
      <c r="B145" t="s">
        <v>101</v>
      </c>
      <c r="E145" t="s">
        <v>86</v>
      </c>
    </row>
    <row r="146" spans="1:5" x14ac:dyDescent="0.2">
      <c r="A146" t="s">
        <v>85</v>
      </c>
      <c r="B146" t="s">
        <v>86</v>
      </c>
      <c r="E146" t="s">
        <v>96</v>
      </c>
    </row>
    <row r="147" spans="1:5" x14ac:dyDescent="0.2">
      <c r="A147" t="s">
        <v>98</v>
      </c>
      <c r="B147" t="s">
        <v>96</v>
      </c>
      <c r="E147" t="s">
        <v>96</v>
      </c>
    </row>
    <row r="148" spans="1:5" x14ac:dyDescent="0.2">
      <c r="A148" t="s">
        <v>100</v>
      </c>
      <c r="B148" t="s">
        <v>115</v>
      </c>
      <c r="E148" t="s">
        <v>86</v>
      </c>
    </row>
    <row r="149" spans="1:5" x14ac:dyDescent="0.2">
      <c r="A149" t="s">
        <v>86</v>
      </c>
      <c r="B149" t="s">
        <v>83</v>
      </c>
      <c r="E149" t="s">
        <v>86</v>
      </c>
    </row>
    <row r="150" spans="1:5" x14ac:dyDescent="0.2">
      <c r="A150" t="s">
        <v>86</v>
      </c>
      <c r="B150" t="s">
        <v>99</v>
      </c>
      <c r="E150" t="s">
        <v>85</v>
      </c>
    </row>
    <row r="151" spans="1:5" x14ac:dyDescent="0.2">
      <c r="A151" t="s">
        <v>98</v>
      </c>
      <c r="B151" t="s">
        <v>83</v>
      </c>
      <c r="E151" t="s">
        <v>109</v>
      </c>
    </row>
    <row r="152" spans="1:5" x14ac:dyDescent="0.2">
      <c r="A152" t="s">
        <v>85</v>
      </c>
      <c r="B152" t="s">
        <v>96</v>
      </c>
      <c r="E152" t="s">
        <v>96</v>
      </c>
    </row>
    <row r="153" spans="1:5" x14ac:dyDescent="0.2">
      <c r="A153" t="s">
        <v>86</v>
      </c>
      <c r="B153" t="s">
        <v>138</v>
      </c>
      <c r="E153" t="s">
        <v>85</v>
      </c>
    </row>
    <row r="154" spans="1:5" x14ac:dyDescent="0.2">
      <c r="A154" t="s">
        <v>96</v>
      </c>
      <c r="B154" t="s">
        <v>83</v>
      </c>
      <c r="E154" t="s">
        <v>86</v>
      </c>
    </row>
    <row r="155" spans="1:5" x14ac:dyDescent="0.2">
      <c r="A155" t="s">
        <v>175</v>
      </c>
      <c r="B155" t="s">
        <v>86</v>
      </c>
      <c r="E155" t="s">
        <v>96</v>
      </c>
    </row>
    <row r="156" spans="1:5" x14ac:dyDescent="0.2">
      <c r="A156" t="s">
        <v>85</v>
      </c>
      <c r="B156" t="s">
        <v>152</v>
      </c>
      <c r="E156" t="s">
        <v>96</v>
      </c>
    </row>
    <row r="157" spans="1:5" x14ac:dyDescent="0.2">
      <c r="A157" t="s">
        <v>84</v>
      </c>
      <c r="B157" t="s">
        <v>91</v>
      </c>
      <c r="E157" t="s">
        <v>110</v>
      </c>
    </row>
    <row r="158" spans="1:5" x14ac:dyDescent="0.2">
      <c r="A158" t="s">
        <v>99</v>
      </c>
      <c r="B158" t="s">
        <v>99</v>
      </c>
      <c r="E158" t="s">
        <v>96</v>
      </c>
    </row>
    <row r="159" spans="1:5" x14ac:dyDescent="0.2">
      <c r="A159" t="s">
        <v>83</v>
      </c>
      <c r="B159" t="s">
        <v>100</v>
      </c>
      <c r="E159" t="s">
        <v>86</v>
      </c>
    </row>
    <row r="160" spans="1:5" x14ac:dyDescent="0.2">
      <c r="A160" t="s">
        <v>87</v>
      </c>
      <c r="B160" t="s">
        <v>91</v>
      </c>
      <c r="E160" t="s">
        <v>103</v>
      </c>
    </row>
    <row r="161" spans="1:5" x14ac:dyDescent="0.2">
      <c r="A161" t="s">
        <v>87</v>
      </c>
      <c r="B161" t="s">
        <v>83</v>
      </c>
      <c r="E161" t="s">
        <v>111</v>
      </c>
    </row>
    <row r="162" spans="1:5" x14ac:dyDescent="0.2">
      <c r="A162" t="s">
        <v>96</v>
      </c>
      <c r="B162" t="s">
        <v>85</v>
      </c>
      <c r="E162" t="s">
        <v>112</v>
      </c>
    </row>
    <row r="163" spans="1:5" x14ac:dyDescent="0.2">
      <c r="A163" t="s">
        <v>152</v>
      </c>
      <c r="B163" t="s">
        <v>153</v>
      </c>
      <c r="E163" t="s">
        <v>96</v>
      </c>
    </row>
    <row r="164" spans="1:5" x14ac:dyDescent="0.2">
      <c r="A164" t="s">
        <v>85</v>
      </c>
      <c r="B164" t="s">
        <v>100</v>
      </c>
      <c r="E164" t="s">
        <v>96</v>
      </c>
    </row>
    <row r="165" spans="1:5" x14ac:dyDescent="0.2">
      <c r="A165" t="s">
        <v>96</v>
      </c>
      <c r="B165" t="s">
        <v>86</v>
      </c>
      <c r="E165" t="s">
        <v>86</v>
      </c>
    </row>
    <row r="166" spans="1:5" x14ac:dyDescent="0.2">
      <c r="A166" t="s">
        <v>83</v>
      </c>
      <c r="B166" t="s">
        <v>138</v>
      </c>
      <c r="E166" t="s">
        <v>96</v>
      </c>
    </row>
    <row r="167" spans="1:5" x14ac:dyDescent="0.2">
      <c r="A167" t="s">
        <v>176</v>
      </c>
      <c r="B167" t="s">
        <v>128</v>
      </c>
      <c r="E167" t="s">
        <v>96</v>
      </c>
    </row>
    <row r="168" spans="1:5" x14ac:dyDescent="0.2">
      <c r="A168" t="s">
        <v>83</v>
      </c>
      <c r="B168" t="s">
        <v>85</v>
      </c>
      <c r="E168" t="s">
        <v>96</v>
      </c>
    </row>
    <row r="169" spans="1:5" x14ac:dyDescent="0.2">
      <c r="A169" t="s">
        <v>115</v>
      </c>
      <c r="B169" t="s">
        <v>85</v>
      </c>
      <c r="E169" t="s">
        <v>96</v>
      </c>
    </row>
    <row r="170" spans="1:5" x14ac:dyDescent="0.2">
      <c r="A170" t="s">
        <v>123</v>
      </c>
      <c r="B170" t="s">
        <v>101</v>
      </c>
      <c r="E170" t="s">
        <v>86</v>
      </c>
    </row>
    <row r="171" spans="1:5" x14ac:dyDescent="0.2">
      <c r="A171" t="s">
        <v>83</v>
      </c>
      <c r="B171" t="s">
        <v>154</v>
      </c>
      <c r="E171" t="s">
        <v>113</v>
      </c>
    </row>
    <row r="172" spans="1:5" x14ac:dyDescent="0.2">
      <c r="A172" t="s">
        <v>84</v>
      </c>
      <c r="B172" t="s">
        <v>85</v>
      </c>
      <c r="E172" t="s">
        <v>114</v>
      </c>
    </row>
    <row r="173" spans="1:5" x14ac:dyDescent="0.2">
      <c r="A173" t="s">
        <v>112</v>
      </c>
      <c r="B173" t="s">
        <v>86</v>
      </c>
      <c r="E173" t="s">
        <v>86</v>
      </c>
    </row>
    <row r="174" spans="1:5" x14ac:dyDescent="0.2">
      <c r="A174" t="s">
        <v>86</v>
      </c>
      <c r="B174" t="s">
        <v>96</v>
      </c>
      <c r="E174" t="s">
        <v>96</v>
      </c>
    </row>
    <row r="175" spans="1:5" x14ac:dyDescent="0.2">
      <c r="A175" t="s">
        <v>85</v>
      </c>
      <c r="B175" t="s">
        <v>86</v>
      </c>
      <c r="E175" t="s">
        <v>85</v>
      </c>
    </row>
    <row r="176" spans="1:5" x14ac:dyDescent="0.2">
      <c r="A176" t="s">
        <v>86</v>
      </c>
      <c r="B176" t="s">
        <v>83</v>
      </c>
      <c r="E176" t="s">
        <v>96</v>
      </c>
    </row>
    <row r="177" spans="1:5" x14ac:dyDescent="0.2">
      <c r="A177" t="s">
        <v>86</v>
      </c>
      <c r="B177" t="s">
        <v>83</v>
      </c>
      <c r="E177" t="s">
        <v>85</v>
      </c>
    </row>
    <row r="178" spans="1:5" x14ac:dyDescent="0.2">
      <c r="A178" t="s">
        <v>86</v>
      </c>
      <c r="B178" t="s">
        <v>115</v>
      </c>
      <c r="E178" t="s">
        <v>83</v>
      </c>
    </row>
    <row r="179" spans="1:5" x14ac:dyDescent="0.2">
      <c r="A179" t="s">
        <v>86</v>
      </c>
      <c r="B179" t="s">
        <v>100</v>
      </c>
      <c r="E179" t="s">
        <v>96</v>
      </c>
    </row>
    <row r="180" spans="1:5" x14ac:dyDescent="0.2">
      <c r="A180" t="s">
        <v>86</v>
      </c>
      <c r="B180" t="s">
        <v>108</v>
      </c>
      <c r="E180" t="s">
        <v>86</v>
      </c>
    </row>
    <row r="181" spans="1:5" x14ac:dyDescent="0.2">
      <c r="A181" t="s">
        <v>92</v>
      </c>
      <c r="B181" t="s">
        <v>84</v>
      </c>
      <c r="E181" t="s">
        <v>115</v>
      </c>
    </row>
    <row r="182" spans="1:5" x14ac:dyDescent="0.2">
      <c r="A182" t="s">
        <v>155</v>
      </c>
      <c r="B182" t="s">
        <v>155</v>
      </c>
      <c r="E182" t="s">
        <v>85</v>
      </c>
    </row>
    <row r="183" spans="1:5" x14ac:dyDescent="0.2">
      <c r="A183" t="s">
        <v>89</v>
      </c>
      <c r="B183" t="s">
        <v>86</v>
      </c>
      <c r="E183" t="s">
        <v>85</v>
      </c>
    </row>
    <row r="184" spans="1:5" x14ac:dyDescent="0.2">
      <c r="A184" t="s">
        <v>96</v>
      </c>
      <c r="B184" t="s">
        <v>85</v>
      </c>
      <c r="E184" t="s">
        <v>96</v>
      </c>
    </row>
    <row r="185" spans="1:5" x14ac:dyDescent="0.2">
      <c r="A185" t="s">
        <v>96</v>
      </c>
      <c r="B185" t="s">
        <v>116</v>
      </c>
      <c r="E185" t="s">
        <v>100</v>
      </c>
    </row>
    <row r="186" spans="1:5" x14ac:dyDescent="0.2">
      <c r="A186" t="s">
        <v>86</v>
      </c>
      <c r="B186" t="s">
        <v>123</v>
      </c>
      <c r="E186" t="s">
        <v>85</v>
      </c>
    </row>
    <row r="187" spans="1:5" x14ac:dyDescent="0.2">
      <c r="A187" t="s">
        <v>99</v>
      </c>
      <c r="B187" t="s">
        <v>156</v>
      </c>
      <c r="E187" t="s">
        <v>86</v>
      </c>
    </row>
    <row r="188" spans="1:5" x14ac:dyDescent="0.2">
      <c r="A188" t="s">
        <v>83</v>
      </c>
      <c r="B188" t="s">
        <v>85</v>
      </c>
      <c r="E188" t="s">
        <v>116</v>
      </c>
    </row>
    <row r="189" spans="1:5" x14ac:dyDescent="0.2">
      <c r="A189" t="s">
        <v>123</v>
      </c>
      <c r="B189" t="s">
        <v>157</v>
      </c>
      <c r="E189" t="s">
        <v>112</v>
      </c>
    </row>
    <row r="190" spans="1:5" x14ac:dyDescent="0.2">
      <c r="A190" t="s">
        <v>150</v>
      </c>
      <c r="B190" t="s">
        <v>83</v>
      </c>
      <c r="E190" t="s">
        <v>96</v>
      </c>
    </row>
    <row r="191" spans="1:5" x14ac:dyDescent="0.2">
      <c r="A191" t="s">
        <v>96</v>
      </c>
      <c r="B191" t="s">
        <v>86</v>
      </c>
      <c r="E191" t="s">
        <v>96</v>
      </c>
    </row>
    <row r="192" spans="1:5" x14ac:dyDescent="0.2">
      <c r="A192" t="s">
        <v>123</v>
      </c>
      <c r="B192" t="s">
        <v>83</v>
      </c>
      <c r="E192" t="s">
        <v>96</v>
      </c>
    </row>
    <row r="193" spans="1:5" x14ac:dyDescent="0.2">
      <c r="A193" t="s">
        <v>123</v>
      </c>
      <c r="B193" t="s">
        <v>86</v>
      </c>
      <c r="E193" t="s">
        <v>96</v>
      </c>
    </row>
    <row r="194" spans="1:5" x14ac:dyDescent="0.2">
      <c r="A194" t="s">
        <v>96</v>
      </c>
      <c r="B194" t="s">
        <v>122</v>
      </c>
      <c r="E194" t="s">
        <v>96</v>
      </c>
    </row>
    <row r="195" spans="1:5" x14ac:dyDescent="0.2">
      <c r="A195" t="s">
        <v>86</v>
      </c>
      <c r="B195" t="s">
        <v>132</v>
      </c>
      <c r="E195" t="s">
        <v>96</v>
      </c>
    </row>
    <row r="196" spans="1:5" x14ac:dyDescent="0.2">
      <c r="A196" t="s">
        <v>165</v>
      </c>
      <c r="B196" t="s">
        <v>85</v>
      </c>
      <c r="E196" t="s">
        <v>96</v>
      </c>
    </row>
    <row r="197" spans="1:5" x14ac:dyDescent="0.2">
      <c r="A197" t="s">
        <v>86</v>
      </c>
      <c r="B197" t="s">
        <v>122</v>
      </c>
      <c r="E197" t="s">
        <v>86</v>
      </c>
    </row>
    <row r="198" spans="1:5" x14ac:dyDescent="0.2">
      <c r="A198" t="s">
        <v>120</v>
      </c>
      <c r="B198" t="s">
        <v>96</v>
      </c>
      <c r="E198" t="s">
        <v>96</v>
      </c>
    </row>
    <row r="199" spans="1:5" x14ac:dyDescent="0.2">
      <c r="A199" t="s">
        <v>83</v>
      </c>
      <c r="B199" t="s">
        <v>86</v>
      </c>
      <c r="E199" t="s">
        <v>96</v>
      </c>
    </row>
    <row r="200" spans="1:5" x14ac:dyDescent="0.2">
      <c r="A200" t="s">
        <v>86</v>
      </c>
      <c r="B200" t="s">
        <v>85</v>
      </c>
      <c r="E200" t="s">
        <v>87</v>
      </c>
    </row>
    <row r="201" spans="1:5" x14ac:dyDescent="0.2">
      <c r="A201" t="s">
        <v>96</v>
      </c>
      <c r="B201" t="s">
        <v>86</v>
      </c>
      <c r="E201" t="s">
        <v>96</v>
      </c>
    </row>
    <row r="202" spans="1:5" x14ac:dyDescent="0.2">
      <c r="A202" t="s">
        <v>83</v>
      </c>
      <c r="B202" t="s">
        <v>158</v>
      </c>
      <c r="E202" t="s">
        <v>85</v>
      </c>
    </row>
    <row r="203" spans="1:5" x14ac:dyDescent="0.2">
      <c r="A203" t="s">
        <v>85</v>
      </c>
      <c r="B203" t="s">
        <v>159</v>
      </c>
      <c r="E203" t="s">
        <v>96</v>
      </c>
    </row>
    <row r="204" spans="1:5" x14ac:dyDescent="0.2">
      <c r="A204" t="s">
        <v>87</v>
      </c>
      <c r="B204" t="s">
        <v>160</v>
      </c>
    </row>
    <row r="205" spans="1:5" x14ac:dyDescent="0.2">
      <c r="A205" t="s">
        <v>83</v>
      </c>
      <c r="B205" t="s">
        <v>103</v>
      </c>
    </row>
    <row r="206" spans="1:5" x14ac:dyDescent="0.2">
      <c r="A206" t="s">
        <v>83</v>
      </c>
      <c r="B206" t="s">
        <v>85</v>
      </c>
    </row>
    <row r="207" spans="1:5" x14ac:dyDescent="0.2">
      <c r="A207" t="s">
        <v>86</v>
      </c>
      <c r="B207" t="s">
        <v>138</v>
      </c>
    </row>
    <row r="208" spans="1:5" x14ac:dyDescent="0.2">
      <c r="A208" t="s">
        <v>96</v>
      </c>
      <c r="B208" t="s">
        <v>101</v>
      </c>
    </row>
    <row r="209" spans="1:2" x14ac:dyDescent="0.2">
      <c r="A209" t="s">
        <v>96</v>
      </c>
      <c r="B209" t="s">
        <v>96</v>
      </c>
    </row>
    <row r="210" spans="1:2" x14ac:dyDescent="0.2">
      <c r="A210" t="s">
        <v>99</v>
      </c>
      <c r="B210" t="s">
        <v>85</v>
      </c>
    </row>
    <row r="211" spans="1:2" x14ac:dyDescent="0.2">
      <c r="A211" t="s">
        <v>96</v>
      </c>
      <c r="B211" t="s">
        <v>85</v>
      </c>
    </row>
    <row r="212" spans="1:2" x14ac:dyDescent="0.2">
      <c r="A212" t="s">
        <v>108</v>
      </c>
      <c r="B212" t="s">
        <v>96</v>
      </c>
    </row>
    <row r="213" spans="1:2" x14ac:dyDescent="0.2">
      <c r="A213" t="s">
        <v>85</v>
      </c>
      <c r="B213" t="s">
        <v>85</v>
      </c>
    </row>
    <row r="214" spans="1:2" x14ac:dyDescent="0.2">
      <c r="A214" t="s">
        <v>133</v>
      </c>
      <c r="B214" t="s">
        <v>83</v>
      </c>
    </row>
    <row r="215" spans="1:2" x14ac:dyDescent="0.2">
      <c r="A215" t="s">
        <v>96</v>
      </c>
      <c r="B215" t="s">
        <v>146</v>
      </c>
    </row>
    <row r="216" spans="1:2" x14ac:dyDescent="0.2">
      <c r="A216" t="s">
        <v>96</v>
      </c>
      <c r="B216" t="s">
        <v>85</v>
      </c>
    </row>
    <row r="217" spans="1:2" x14ac:dyDescent="0.2">
      <c r="A217" t="s">
        <v>177</v>
      </c>
      <c r="B217" t="s">
        <v>149</v>
      </c>
    </row>
    <row r="218" spans="1:2" x14ac:dyDescent="0.2">
      <c r="A218" t="s">
        <v>96</v>
      </c>
      <c r="B218" t="s">
        <v>87</v>
      </c>
    </row>
    <row r="219" spans="1:2" x14ac:dyDescent="0.2">
      <c r="A219" t="s">
        <v>99</v>
      </c>
      <c r="B219" t="s">
        <v>103</v>
      </c>
    </row>
    <row r="220" spans="1:2" x14ac:dyDescent="0.2">
      <c r="A220" t="s">
        <v>86</v>
      </c>
      <c r="B220" t="s">
        <v>154</v>
      </c>
    </row>
    <row r="221" spans="1:2" x14ac:dyDescent="0.2">
      <c r="A221" t="s">
        <v>83</v>
      </c>
      <c r="B221" t="s">
        <v>83</v>
      </c>
    </row>
    <row r="222" spans="1:2" x14ac:dyDescent="0.2">
      <c r="A222" t="s">
        <v>86</v>
      </c>
      <c r="B222" t="s">
        <v>96</v>
      </c>
    </row>
    <row r="223" spans="1:2" x14ac:dyDescent="0.2">
      <c r="A223" t="s">
        <v>85</v>
      </c>
      <c r="B223" t="s">
        <v>83</v>
      </c>
    </row>
    <row r="224" spans="1:2" x14ac:dyDescent="0.2">
      <c r="A224" t="s">
        <v>85</v>
      </c>
      <c r="B224" t="s">
        <v>85</v>
      </c>
    </row>
    <row r="225" spans="1:2" x14ac:dyDescent="0.2">
      <c r="A225" t="s">
        <v>96</v>
      </c>
      <c r="B225" t="s">
        <v>83</v>
      </c>
    </row>
    <row r="226" spans="1:2" x14ac:dyDescent="0.2">
      <c r="A226" t="s">
        <v>86</v>
      </c>
      <c r="B226" t="s">
        <v>85</v>
      </c>
    </row>
    <row r="227" spans="1:2" x14ac:dyDescent="0.2">
      <c r="A227" t="s">
        <v>96</v>
      </c>
      <c r="B227" t="s">
        <v>83</v>
      </c>
    </row>
    <row r="228" spans="1:2" x14ac:dyDescent="0.2">
      <c r="A228" t="s">
        <v>178</v>
      </c>
      <c r="B228" t="s">
        <v>101</v>
      </c>
    </row>
    <row r="229" spans="1:2" x14ac:dyDescent="0.2">
      <c r="A229" t="s">
        <v>85</v>
      </c>
      <c r="B229" t="s">
        <v>85</v>
      </c>
    </row>
    <row r="230" spans="1:2" x14ac:dyDescent="0.2">
      <c r="A230" t="s">
        <v>171</v>
      </c>
      <c r="B230" t="s">
        <v>86</v>
      </c>
    </row>
    <row r="231" spans="1:2" x14ac:dyDescent="0.2">
      <c r="A231" t="s">
        <v>96</v>
      </c>
      <c r="B231" t="s">
        <v>110</v>
      </c>
    </row>
    <row r="232" spans="1:2" x14ac:dyDescent="0.2">
      <c r="A232" t="s">
        <v>86</v>
      </c>
      <c r="B232" t="s">
        <v>86</v>
      </c>
    </row>
    <row r="233" spans="1:2" x14ac:dyDescent="0.2">
      <c r="A233" t="s">
        <v>115</v>
      </c>
      <c r="B233" t="s">
        <v>101</v>
      </c>
    </row>
    <row r="234" spans="1:2" x14ac:dyDescent="0.2">
      <c r="A234" t="s">
        <v>85</v>
      </c>
      <c r="B234" t="s">
        <v>85</v>
      </c>
    </row>
    <row r="235" spans="1:2" x14ac:dyDescent="0.2">
      <c r="A235" t="s">
        <v>96</v>
      </c>
      <c r="B235" t="s">
        <v>85</v>
      </c>
    </row>
    <row r="236" spans="1:2" x14ac:dyDescent="0.2">
      <c r="A236" t="s">
        <v>83</v>
      </c>
      <c r="B236" t="s">
        <v>86</v>
      </c>
    </row>
    <row r="237" spans="1:2" x14ac:dyDescent="0.2">
      <c r="A237" t="s">
        <v>103</v>
      </c>
      <c r="B237" t="s">
        <v>86</v>
      </c>
    </row>
    <row r="238" spans="1:2" x14ac:dyDescent="0.2">
      <c r="A238" t="s">
        <v>85</v>
      </c>
      <c r="B238" t="s">
        <v>83</v>
      </c>
    </row>
    <row r="239" spans="1:2" x14ac:dyDescent="0.2">
      <c r="A239" t="s">
        <v>89</v>
      </c>
      <c r="B239" t="s">
        <v>151</v>
      </c>
    </row>
    <row r="240" spans="1:2" x14ac:dyDescent="0.2">
      <c r="A240" t="s">
        <v>103</v>
      </c>
      <c r="B240" t="s">
        <v>83</v>
      </c>
    </row>
    <row r="241" spans="1:2" x14ac:dyDescent="0.2">
      <c r="A241" t="s">
        <v>96</v>
      </c>
      <c r="B241" t="s">
        <v>83</v>
      </c>
    </row>
    <row r="242" spans="1:2" x14ac:dyDescent="0.2">
      <c r="A242" t="s">
        <v>103</v>
      </c>
      <c r="B242" t="s">
        <v>85</v>
      </c>
    </row>
    <row r="243" spans="1:2" x14ac:dyDescent="0.2">
      <c r="A243" t="s">
        <v>115</v>
      </c>
      <c r="B243" t="s">
        <v>118</v>
      </c>
    </row>
    <row r="244" spans="1:2" x14ac:dyDescent="0.2">
      <c r="A244" t="s">
        <v>95</v>
      </c>
      <c r="B244" t="s">
        <v>108</v>
      </c>
    </row>
    <row r="245" spans="1:2" x14ac:dyDescent="0.2">
      <c r="A245" t="s">
        <v>86</v>
      </c>
      <c r="B245" t="s">
        <v>86</v>
      </c>
    </row>
    <row r="246" spans="1:2" x14ac:dyDescent="0.2">
      <c r="A246" t="s">
        <v>85</v>
      </c>
      <c r="B246" t="s">
        <v>96</v>
      </c>
    </row>
    <row r="247" spans="1:2" x14ac:dyDescent="0.2">
      <c r="A247" t="s">
        <v>171</v>
      </c>
      <c r="B247" t="s">
        <v>96</v>
      </c>
    </row>
    <row r="248" spans="1:2" x14ac:dyDescent="0.2">
      <c r="A248" t="s">
        <v>83</v>
      </c>
      <c r="B248" t="s">
        <v>95</v>
      </c>
    </row>
    <row r="249" spans="1:2" x14ac:dyDescent="0.2">
      <c r="A249" t="s">
        <v>83</v>
      </c>
      <c r="B249" t="s">
        <v>86</v>
      </c>
    </row>
    <row r="250" spans="1:2" x14ac:dyDescent="0.2">
      <c r="A250" t="s">
        <v>86</v>
      </c>
      <c r="B250" t="s">
        <v>113</v>
      </c>
    </row>
    <row r="251" spans="1:2" x14ac:dyDescent="0.2">
      <c r="A251" t="s">
        <v>96</v>
      </c>
      <c r="B251" t="s">
        <v>123</v>
      </c>
    </row>
    <row r="252" spans="1:2" x14ac:dyDescent="0.2">
      <c r="A252" t="s">
        <v>86</v>
      </c>
      <c r="B252" t="s">
        <v>86</v>
      </c>
    </row>
    <row r="253" spans="1:2" x14ac:dyDescent="0.2">
      <c r="A253" t="s">
        <v>154</v>
      </c>
      <c r="B253" t="s">
        <v>85</v>
      </c>
    </row>
    <row r="254" spans="1:2" x14ac:dyDescent="0.2">
      <c r="A254" t="s">
        <v>83</v>
      </c>
      <c r="B254" t="s">
        <v>161</v>
      </c>
    </row>
    <row r="255" spans="1:2" x14ac:dyDescent="0.2">
      <c r="A255" t="s">
        <v>148</v>
      </c>
      <c r="B255" t="s">
        <v>85</v>
      </c>
    </row>
    <row r="256" spans="1:2" x14ac:dyDescent="0.2">
      <c r="A256" t="s">
        <v>99</v>
      </c>
      <c r="B256" t="s">
        <v>162</v>
      </c>
    </row>
    <row r="257" spans="1:2" x14ac:dyDescent="0.2">
      <c r="A257" t="s">
        <v>151</v>
      </c>
      <c r="B257" t="s">
        <v>103</v>
      </c>
    </row>
    <row r="258" spans="1:2" x14ac:dyDescent="0.2">
      <c r="A258" t="s">
        <v>83</v>
      </c>
      <c r="B258" t="s">
        <v>163</v>
      </c>
    </row>
    <row r="259" spans="1:2" x14ac:dyDescent="0.2">
      <c r="A259" t="s">
        <v>86</v>
      </c>
      <c r="B259" t="s">
        <v>96</v>
      </c>
    </row>
    <row r="260" spans="1:2" x14ac:dyDescent="0.2">
      <c r="A260" t="s">
        <v>85</v>
      </c>
      <c r="B260" t="s">
        <v>83</v>
      </c>
    </row>
    <row r="261" spans="1:2" x14ac:dyDescent="0.2">
      <c r="A261" t="s">
        <v>100</v>
      </c>
      <c r="B261" t="s">
        <v>96</v>
      </c>
    </row>
    <row r="262" spans="1:2" x14ac:dyDescent="0.2">
      <c r="A262" t="s">
        <v>83</v>
      </c>
      <c r="B262" t="s">
        <v>96</v>
      </c>
    </row>
    <row r="263" spans="1:2" x14ac:dyDescent="0.2">
      <c r="A263" t="s">
        <v>96</v>
      </c>
      <c r="B263" t="s">
        <v>86</v>
      </c>
    </row>
    <row r="264" spans="1:2" x14ac:dyDescent="0.2">
      <c r="A264" t="s">
        <v>128</v>
      </c>
      <c r="B264" t="s">
        <v>87</v>
      </c>
    </row>
    <row r="265" spans="1:2" x14ac:dyDescent="0.2">
      <c r="A265" t="s">
        <v>149</v>
      </c>
      <c r="B265" t="s">
        <v>87</v>
      </c>
    </row>
    <row r="266" spans="1:2" x14ac:dyDescent="0.2">
      <c r="A266" t="s">
        <v>84</v>
      </c>
      <c r="B266" t="s">
        <v>87</v>
      </c>
    </row>
    <row r="267" spans="1:2" x14ac:dyDescent="0.2">
      <c r="A267" t="s">
        <v>123</v>
      </c>
      <c r="B267" t="s">
        <v>96</v>
      </c>
    </row>
    <row r="268" spans="1:2" x14ac:dyDescent="0.2">
      <c r="A268" t="s">
        <v>85</v>
      </c>
      <c r="B268" t="s">
        <v>101</v>
      </c>
    </row>
    <row r="269" spans="1:2" x14ac:dyDescent="0.2">
      <c r="A269" t="s">
        <v>96</v>
      </c>
      <c r="B269" t="s">
        <v>86</v>
      </c>
    </row>
    <row r="270" spans="1:2" x14ac:dyDescent="0.2">
      <c r="A270" t="s">
        <v>89</v>
      </c>
      <c r="B270" t="s">
        <v>99</v>
      </c>
    </row>
    <row r="271" spans="1:2" x14ac:dyDescent="0.2">
      <c r="A271" t="s">
        <v>96</v>
      </c>
      <c r="B271" t="s">
        <v>84</v>
      </c>
    </row>
    <row r="272" spans="1:2" x14ac:dyDescent="0.2">
      <c r="A272" t="s">
        <v>91</v>
      </c>
      <c r="B272" t="s">
        <v>149</v>
      </c>
    </row>
    <row r="273" spans="1:2" x14ac:dyDescent="0.2">
      <c r="A273" t="s">
        <v>85</v>
      </c>
      <c r="B273" t="s">
        <v>96</v>
      </c>
    </row>
    <row r="274" spans="1:2" x14ac:dyDescent="0.2">
      <c r="A274" t="s">
        <v>85</v>
      </c>
      <c r="B274" t="s">
        <v>85</v>
      </c>
    </row>
    <row r="275" spans="1:2" x14ac:dyDescent="0.2">
      <c r="A275" t="s">
        <v>83</v>
      </c>
      <c r="B275" t="s">
        <v>86</v>
      </c>
    </row>
    <row r="276" spans="1:2" x14ac:dyDescent="0.2">
      <c r="A276" t="s">
        <v>86</v>
      </c>
      <c r="B276" t="s">
        <v>87</v>
      </c>
    </row>
    <row r="277" spans="1:2" x14ac:dyDescent="0.2">
      <c r="A277" t="s">
        <v>85</v>
      </c>
      <c r="B277" t="s">
        <v>91</v>
      </c>
    </row>
    <row r="278" spans="1:2" x14ac:dyDescent="0.2">
      <c r="A278" t="s">
        <v>96</v>
      </c>
      <c r="B278" t="s">
        <v>96</v>
      </c>
    </row>
    <row r="279" spans="1:2" x14ac:dyDescent="0.2">
      <c r="A279" t="s">
        <v>86</v>
      </c>
      <c r="B279" t="s">
        <v>83</v>
      </c>
    </row>
    <row r="280" spans="1:2" x14ac:dyDescent="0.2">
      <c r="A280" t="s">
        <v>148</v>
      </c>
      <c r="B280" t="s">
        <v>96</v>
      </c>
    </row>
    <row r="281" spans="1:2" x14ac:dyDescent="0.2">
      <c r="A281" t="s">
        <v>99</v>
      </c>
      <c r="B281" t="s">
        <v>85</v>
      </c>
    </row>
    <row r="282" spans="1:2" x14ac:dyDescent="0.2">
      <c r="A282" t="s">
        <v>149</v>
      </c>
      <c r="B282" t="s">
        <v>85</v>
      </c>
    </row>
    <row r="283" spans="1:2" x14ac:dyDescent="0.2">
      <c r="A283" t="s">
        <v>96</v>
      </c>
      <c r="B283" t="s">
        <v>85</v>
      </c>
    </row>
    <row r="284" spans="1:2" x14ac:dyDescent="0.2">
      <c r="A284" t="s">
        <v>85</v>
      </c>
      <c r="B284" t="s">
        <v>86</v>
      </c>
    </row>
    <row r="285" spans="1:2" x14ac:dyDescent="0.2">
      <c r="A285" t="s">
        <v>83</v>
      </c>
      <c r="B285" t="s">
        <v>85</v>
      </c>
    </row>
    <row r="286" spans="1:2" x14ac:dyDescent="0.2">
      <c r="A286" t="s">
        <v>86</v>
      </c>
      <c r="B286" t="s">
        <v>96</v>
      </c>
    </row>
    <row r="287" spans="1:2" x14ac:dyDescent="0.2">
      <c r="A287" t="s">
        <v>85</v>
      </c>
      <c r="B287" t="s">
        <v>164</v>
      </c>
    </row>
    <row r="288" spans="1:2" x14ac:dyDescent="0.2">
      <c r="A288" t="s">
        <v>85</v>
      </c>
      <c r="B288" t="s">
        <v>84</v>
      </c>
    </row>
    <row r="289" spans="1:2" x14ac:dyDescent="0.2">
      <c r="A289" t="s">
        <v>179</v>
      </c>
      <c r="B289" t="s">
        <v>86</v>
      </c>
    </row>
    <row r="290" spans="1:2" x14ac:dyDescent="0.2">
      <c r="A290" t="s">
        <v>96</v>
      </c>
      <c r="B290" t="s">
        <v>96</v>
      </c>
    </row>
    <row r="291" spans="1:2" x14ac:dyDescent="0.2">
      <c r="A291" t="s">
        <v>123</v>
      </c>
      <c r="B291" t="s">
        <v>116</v>
      </c>
    </row>
    <row r="292" spans="1:2" x14ac:dyDescent="0.2">
      <c r="A292" t="s">
        <v>86</v>
      </c>
      <c r="B292" t="s">
        <v>83</v>
      </c>
    </row>
    <row r="293" spans="1:2" x14ac:dyDescent="0.2">
      <c r="A293" t="s">
        <v>85</v>
      </c>
      <c r="B293" t="s">
        <v>86</v>
      </c>
    </row>
    <row r="294" spans="1:2" x14ac:dyDescent="0.2">
      <c r="A294" t="s">
        <v>94</v>
      </c>
      <c r="B294" t="s">
        <v>96</v>
      </c>
    </row>
    <row r="295" spans="1:2" x14ac:dyDescent="0.2">
      <c r="A295" t="s">
        <v>92</v>
      </c>
      <c r="B295" t="s">
        <v>85</v>
      </c>
    </row>
    <row r="296" spans="1:2" x14ac:dyDescent="0.2">
      <c r="A296" t="s">
        <v>94</v>
      </c>
      <c r="B296" t="s">
        <v>85</v>
      </c>
    </row>
    <row r="297" spans="1:2" x14ac:dyDescent="0.2">
      <c r="A297" t="s">
        <v>85</v>
      </c>
      <c r="B297" t="s">
        <v>102</v>
      </c>
    </row>
    <row r="298" spans="1:2" x14ac:dyDescent="0.2">
      <c r="A298" t="s">
        <v>120</v>
      </c>
      <c r="B298" t="s">
        <v>138</v>
      </c>
    </row>
    <row r="299" spans="1:2" x14ac:dyDescent="0.2">
      <c r="A299" t="s">
        <v>100</v>
      </c>
      <c r="B299" t="s">
        <v>116</v>
      </c>
    </row>
    <row r="300" spans="1:2" x14ac:dyDescent="0.2">
      <c r="A300" t="s">
        <v>96</v>
      </c>
      <c r="B300" t="s">
        <v>86</v>
      </c>
    </row>
    <row r="301" spans="1:2" x14ac:dyDescent="0.2">
      <c r="A301" t="s">
        <v>85</v>
      </c>
      <c r="B301" t="s">
        <v>96</v>
      </c>
    </row>
    <row r="302" spans="1:2" x14ac:dyDescent="0.2">
      <c r="A302" t="s">
        <v>85</v>
      </c>
      <c r="B302" t="s">
        <v>96</v>
      </c>
    </row>
    <row r="303" spans="1:2" x14ac:dyDescent="0.2">
      <c r="A303" t="s">
        <v>95</v>
      </c>
      <c r="B303" t="s">
        <v>157</v>
      </c>
    </row>
    <row r="304" spans="1:2" x14ac:dyDescent="0.2">
      <c r="A304" t="s">
        <v>86</v>
      </c>
      <c r="B304" t="s">
        <v>103</v>
      </c>
    </row>
    <row r="305" spans="1:2" x14ac:dyDescent="0.2">
      <c r="A305" t="s">
        <v>138</v>
      </c>
      <c r="B305" t="s">
        <v>86</v>
      </c>
    </row>
    <row r="306" spans="1:2" x14ac:dyDescent="0.2">
      <c r="A306" t="s">
        <v>86</v>
      </c>
      <c r="B306" t="s">
        <v>86</v>
      </c>
    </row>
    <row r="307" spans="1:2" x14ac:dyDescent="0.2">
      <c r="A307" t="s">
        <v>85</v>
      </c>
      <c r="B307" t="s">
        <v>99</v>
      </c>
    </row>
    <row r="308" spans="1:2" x14ac:dyDescent="0.2">
      <c r="A308" t="s">
        <v>85</v>
      </c>
      <c r="B308" t="s">
        <v>96</v>
      </c>
    </row>
    <row r="309" spans="1:2" x14ac:dyDescent="0.2">
      <c r="A309" t="s">
        <v>86</v>
      </c>
      <c r="B309" t="s">
        <v>96</v>
      </c>
    </row>
    <row r="310" spans="1:2" x14ac:dyDescent="0.2">
      <c r="A310" t="s">
        <v>85</v>
      </c>
      <c r="B310" t="s">
        <v>83</v>
      </c>
    </row>
    <row r="311" spans="1:2" x14ac:dyDescent="0.2">
      <c r="A311" t="s">
        <v>88</v>
      </c>
      <c r="B311" t="s">
        <v>84</v>
      </c>
    </row>
    <row r="312" spans="1:2" x14ac:dyDescent="0.2">
      <c r="A312" t="s">
        <v>83</v>
      </c>
      <c r="B312" t="s">
        <v>86</v>
      </c>
    </row>
    <row r="313" spans="1:2" x14ac:dyDescent="0.2">
      <c r="A313" t="s">
        <v>154</v>
      </c>
      <c r="B313" t="s">
        <v>86</v>
      </c>
    </row>
    <row r="314" spans="1:2" x14ac:dyDescent="0.2">
      <c r="A314" t="s">
        <v>86</v>
      </c>
      <c r="B314" t="s">
        <v>96</v>
      </c>
    </row>
    <row r="315" spans="1:2" x14ac:dyDescent="0.2">
      <c r="A315" t="s">
        <v>86</v>
      </c>
      <c r="B315" t="s">
        <v>165</v>
      </c>
    </row>
    <row r="316" spans="1:2" x14ac:dyDescent="0.2">
      <c r="A316" t="s">
        <v>83</v>
      </c>
      <c r="B316" t="s">
        <v>96</v>
      </c>
    </row>
    <row r="317" spans="1:2" x14ac:dyDescent="0.2">
      <c r="A317" t="s">
        <v>180</v>
      </c>
      <c r="B317" t="s">
        <v>86</v>
      </c>
    </row>
    <row r="318" spans="1:2" x14ac:dyDescent="0.2">
      <c r="A318" t="s">
        <v>85</v>
      </c>
      <c r="B318" t="s">
        <v>85</v>
      </c>
    </row>
    <row r="319" spans="1:2" x14ac:dyDescent="0.2">
      <c r="A319" t="s">
        <v>85</v>
      </c>
      <c r="B319" t="s">
        <v>86</v>
      </c>
    </row>
    <row r="320" spans="1:2" x14ac:dyDescent="0.2">
      <c r="A320" t="s">
        <v>85</v>
      </c>
      <c r="B320" t="s">
        <v>87</v>
      </c>
    </row>
    <row r="321" spans="1:2" x14ac:dyDescent="0.2">
      <c r="A321" t="s">
        <v>181</v>
      </c>
      <c r="B321" t="s">
        <v>83</v>
      </c>
    </row>
    <row r="322" spans="1:2" x14ac:dyDescent="0.2">
      <c r="A322" t="s">
        <v>87</v>
      </c>
      <c r="B322" t="s">
        <v>86</v>
      </c>
    </row>
    <row r="323" spans="1:2" x14ac:dyDescent="0.2">
      <c r="A323" t="s">
        <v>85</v>
      </c>
      <c r="B323" t="s">
        <v>86</v>
      </c>
    </row>
    <row r="324" spans="1:2" x14ac:dyDescent="0.2">
      <c r="A324" t="s">
        <v>89</v>
      </c>
      <c r="B324" t="s">
        <v>96</v>
      </c>
    </row>
    <row r="325" spans="1:2" x14ac:dyDescent="0.2">
      <c r="A325" t="s">
        <v>83</v>
      </c>
      <c r="B325" t="s">
        <v>86</v>
      </c>
    </row>
    <row r="326" spans="1:2" x14ac:dyDescent="0.2">
      <c r="A326" t="s">
        <v>89</v>
      </c>
      <c r="B326" t="s">
        <v>86</v>
      </c>
    </row>
    <row r="327" spans="1:2" x14ac:dyDescent="0.2">
      <c r="A327" t="s">
        <v>85</v>
      </c>
      <c r="B327" t="s">
        <v>85</v>
      </c>
    </row>
    <row r="328" spans="1:2" x14ac:dyDescent="0.2">
      <c r="A328" t="s">
        <v>85</v>
      </c>
      <c r="B328" t="s">
        <v>166</v>
      </c>
    </row>
    <row r="329" spans="1:2" x14ac:dyDescent="0.2">
      <c r="A329" t="s">
        <v>99</v>
      </c>
      <c r="B329" t="s">
        <v>101</v>
      </c>
    </row>
    <row r="330" spans="1:2" x14ac:dyDescent="0.2">
      <c r="A330" t="s">
        <v>85</v>
      </c>
      <c r="B330" t="s">
        <v>86</v>
      </c>
    </row>
    <row r="331" spans="1:2" x14ac:dyDescent="0.2">
      <c r="A331" t="s">
        <v>96</v>
      </c>
      <c r="B331" t="s">
        <v>86</v>
      </c>
    </row>
    <row r="332" spans="1:2" x14ac:dyDescent="0.2">
      <c r="A332" t="s">
        <v>96</v>
      </c>
      <c r="B332" t="s">
        <v>85</v>
      </c>
    </row>
    <row r="333" spans="1:2" x14ac:dyDescent="0.2">
      <c r="A333" t="s">
        <v>85</v>
      </c>
      <c r="B333" t="s">
        <v>96</v>
      </c>
    </row>
    <row r="334" spans="1:2" x14ac:dyDescent="0.2">
      <c r="A334" t="s">
        <v>85</v>
      </c>
      <c r="B334" t="s">
        <v>117</v>
      </c>
    </row>
    <row r="335" spans="1:2" x14ac:dyDescent="0.2">
      <c r="A335" t="s">
        <v>101</v>
      </c>
      <c r="B335" t="s">
        <v>86</v>
      </c>
    </row>
    <row r="336" spans="1:2" x14ac:dyDescent="0.2">
      <c r="A336" t="s">
        <v>96</v>
      </c>
      <c r="B336" t="s">
        <v>86</v>
      </c>
    </row>
    <row r="337" spans="1:2" x14ac:dyDescent="0.2">
      <c r="A337" t="s">
        <v>86</v>
      </c>
      <c r="B337" t="s">
        <v>83</v>
      </c>
    </row>
    <row r="338" spans="1:2" x14ac:dyDescent="0.2">
      <c r="A338" t="s">
        <v>96</v>
      </c>
      <c r="B338" t="s">
        <v>150</v>
      </c>
    </row>
    <row r="339" spans="1:2" x14ac:dyDescent="0.2">
      <c r="A339" t="s">
        <v>85</v>
      </c>
      <c r="B339" t="s">
        <v>86</v>
      </c>
    </row>
    <row r="340" spans="1:2" x14ac:dyDescent="0.2">
      <c r="A340" t="s">
        <v>85</v>
      </c>
      <c r="B340" t="s">
        <v>102</v>
      </c>
    </row>
    <row r="341" spans="1:2" x14ac:dyDescent="0.2">
      <c r="A341" t="s">
        <v>138</v>
      </c>
      <c r="B341" t="s">
        <v>86</v>
      </c>
    </row>
    <row r="342" spans="1:2" x14ac:dyDescent="0.2">
      <c r="A342" t="s">
        <v>99</v>
      </c>
      <c r="B342" t="s">
        <v>83</v>
      </c>
    </row>
    <row r="343" spans="1:2" x14ac:dyDescent="0.2">
      <c r="A343" t="s">
        <v>96</v>
      </c>
      <c r="B343" t="s">
        <v>83</v>
      </c>
    </row>
    <row r="344" spans="1:2" x14ac:dyDescent="0.2">
      <c r="A344" t="s">
        <v>85</v>
      </c>
      <c r="B344" t="s">
        <v>86</v>
      </c>
    </row>
    <row r="345" spans="1:2" x14ac:dyDescent="0.2">
      <c r="A345" t="s">
        <v>85</v>
      </c>
      <c r="B345" t="s">
        <v>86</v>
      </c>
    </row>
    <row r="346" spans="1:2" x14ac:dyDescent="0.2">
      <c r="A346" t="s">
        <v>83</v>
      </c>
      <c r="B346" t="s">
        <v>85</v>
      </c>
    </row>
    <row r="347" spans="1:2" x14ac:dyDescent="0.2">
      <c r="A347" t="s">
        <v>85</v>
      </c>
      <c r="B347" t="s">
        <v>83</v>
      </c>
    </row>
    <row r="348" spans="1:2" x14ac:dyDescent="0.2">
      <c r="A348" t="s">
        <v>86</v>
      </c>
      <c r="B348" t="s">
        <v>96</v>
      </c>
    </row>
    <row r="349" spans="1:2" x14ac:dyDescent="0.2">
      <c r="A349" t="s">
        <v>94</v>
      </c>
      <c r="B349" t="s">
        <v>83</v>
      </c>
    </row>
    <row r="350" spans="1:2" x14ac:dyDescent="0.2">
      <c r="A350" t="s">
        <v>86</v>
      </c>
      <c r="B350" t="s">
        <v>86</v>
      </c>
    </row>
    <row r="351" spans="1:2" x14ac:dyDescent="0.2">
      <c r="A351" t="s">
        <v>86</v>
      </c>
    </row>
    <row r="352" spans="1:2" x14ac:dyDescent="0.2">
      <c r="A352" t="s">
        <v>106</v>
      </c>
    </row>
    <row r="353" spans="1:1" x14ac:dyDescent="0.2">
      <c r="A353" t="s">
        <v>86</v>
      </c>
    </row>
    <row r="354" spans="1:1" x14ac:dyDescent="0.2">
      <c r="A354" t="s">
        <v>83</v>
      </c>
    </row>
    <row r="355" spans="1:1" x14ac:dyDescent="0.2">
      <c r="A355" t="s">
        <v>85</v>
      </c>
    </row>
    <row r="356" spans="1:1" x14ac:dyDescent="0.2">
      <c r="A356" t="s">
        <v>83</v>
      </c>
    </row>
    <row r="357" spans="1:1" x14ac:dyDescent="0.2">
      <c r="A357" t="s">
        <v>103</v>
      </c>
    </row>
    <row r="358" spans="1:1" x14ac:dyDescent="0.2">
      <c r="A358" t="s">
        <v>95</v>
      </c>
    </row>
    <row r="359" spans="1:1" x14ac:dyDescent="0.2">
      <c r="A359" t="s">
        <v>85</v>
      </c>
    </row>
    <row r="360" spans="1:1" x14ac:dyDescent="0.2">
      <c r="A360" t="s">
        <v>85</v>
      </c>
    </row>
    <row r="361" spans="1:1" x14ac:dyDescent="0.2">
      <c r="A361" t="s">
        <v>83</v>
      </c>
    </row>
    <row r="362" spans="1:1" x14ac:dyDescent="0.2">
      <c r="A362" t="s">
        <v>96</v>
      </c>
    </row>
    <row r="363" spans="1:1" x14ac:dyDescent="0.2">
      <c r="A363" t="s">
        <v>133</v>
      </c>
    </row>
    <row r="364" spans="1:1" x14ac:dyDescent="0.2">
      <c r="A364" t="s">
        <v>85</v>
      </c>
    </row>
    <row r="365" spans="1:1" x14ac:dyDescent="0.2">
      <c r="A365" t="s">
        <v>170</v>
      </c>
    </row>
    <row r="366" spans="1:1" x14ac:dyDescent="0.2">
      <c r="A366" t="s">
        <v>98</v>
      </c>
    </row>
    <row r="367" spans="1:1" x14ac:dyDescent="0.2">
      <c r="A367" t="s">
        <v>92</v>
      </c>
    </row>
    <row r="368" spans="1:1" x14ac:dyDescent="0.2">
      <c r="A368" t="s">
        <v>85</v>
      </c>
    </row>
    <row r="369" spans="1:1" x14ac:dyDescent="0.2">
      <c r="A369" t="s">
        <v>83</v>
      </c>
    </row>
    <row r="370" spans="1:1" x14ac:dyDescent="0.2">
      <c r="A370" t="s">
        <v>118</v>
      </c>
    </row>
    <row r="371" spans="1:1" x14ac:dyDescent="0.2">
      <c r="A371" t="s">
        <v>86</v>
      </c>
    </row>
    <row r="372" spans="1:1" x14ac:dyDescent="0.2">
      <c r="A372" t="s">
        <v>83</v>
      </c>
    </row>
    <row r="373" spans="1:1" x14ac:dyDescent="0.2">
      <c r="A373" t="s">
        <v>154</v>
      </c>
    </row>
    <row r="374" spans="1:1" x14ac:dyDescent="0.2">
      <c r="A374" t="s">
        <v>83</v>
      </c>
    </row>
    <row r="375" spans="1:1" x14ac:dyDescent="0.2">
      <c r="A375" t="s">
        <v>86</v>
      </c>
    </row>
    <row r="376" spans="1:1" x14ac:dyDescent="0.2">
      <c r="A376" t="s">
        <v>85</v>
      </c>
    </row>
    <row r="377" spans="1:1" x14ac:dyDescent="0.2">
      <c r="A377" t="s">
        <v>86</v>
      </c>
    </row>
    <row r="378" spans="1:1" x14ac:dyDescent="0.2">
      <c r="A378" t="s">
        <v>85</v>
      </c>
    </row>
    <row r="379" spans="1:1" x14ac:dyDescent="0.2">
      <c r="A379" t="s">
        <v>85</v>
      </c>
    </row>
    <row r="380" spans="1:1" x14ac:dyDescent="0.2">
      <c r="A380" t="s">
        <v>83</v>
      </c>
    </row>
    <row r="381" spans="1:1" x14ac:dyDescent="0.2">
      <c r="A381" t="s">
        <v>83</v>
      </c>
    </row>
    <row r="382" spans="1:1" x14ac:dyDescent="0.2">
      <c r="A382" t="s">
        <v>86</v>
      </c>
    </row>
    <row r="383" spans="1:1" x14ac:dyDescent="0.2">
      <c r="A383" t="s">
        <v>86</v>
      </c>
    </row>
    <row r="384" spans="1:1" x14ac:dyDescent="0.2">
      <c r="A384" t="s">
        <v>83</v>
      </c>
    </row>
    <row r="385" spans="1:1" x14ac:dyDescent="0.2">
      <c r="A385" t="s">
        <v>182</v>
      </c>
    </row>
    <row r="386" spans="1:1" x14ac:dyDescent="0.2">
      <c r="A386" t="s">
        <v>85</v>
      </c>
    </row>
    <row r="387" spans="1:1" x14ac:dyDescent="0.2">
      <c r="A387" t="s">
        <v>94</v>
      </c>
    </row>
    <row r="388" spans="1:1" x14ac:dyDescent="0.2">
      <c r="A388" t="s">
        <v>103</v>
      </c>
    </row>
    <row r="389" spans="1:1" x14ac:dyDescent="0.2">
      <c r="A389" t="s">
        <v>92</v>
      </c>
    </row>
    <row r="390" spans="1:1" x14ac:dyDescent="0.2">
      <c r="A390" t="s">
        <v>101</v>
      </c>
    </row>
    <row r="391" spans="1:1" x14ac:dyDescent="0.2">
      <c r="A391" t="s">
        <v>122</v>
      </c>
    </row>
    <row r="392" spans="1:1" x14ac:dyDescent="0.2">
      <c r="A392" t="s">
        <v>83</v>
      </c>
    </row>
    <row r="393" spans="1:1" x14ac:dyDescent="0.2">
      <c r="A393" t="s">
        <v>85</v>
      </c>
    </row>
    <row r="394" spans="1:1" x14ac:dyDescent="0.2">
      <c r="A394" t="s">
        <v>83</v>
      </c>
    </row>
    <row r="395" spans="1:1" x14ac:dyDescent="0.2">
      <c r="A395" t="s">
        <v>103</v>
      </c>
    </row>
    <row r="396" spans="1:1" x14ac:dyDescent="0.2">
      <c r="A396" t="s">
        <v>95</v>
      </c>
    </row>
    <row r="397" spans="1:1" x14ac:dyDescent="0.2">
      <c r="A397" t="s">
        <v>85</v>
      </c>
    </row>
    <row r="398" spans="1:1" x14ac:dyDescent="0.2">
      <c r="A398" t="s">
        <v>91</v>
      </c>
    </row>
    <row r="399" spans="1:1" x14ac:dyDescent="0.2">
      <c r="A399" t="s">
        <v>122</v>
      </c>
    </row>
    <row r="400" spans="1:1" x14ac:dyDescent="0.2">
      <c r="A400" t="s">
        <v>105</v>
      </c>
    </row>
    <row r="401" spans="1:1" x14ac:dyDescent="0.2">
      <c r="A401" t="s">
        <v>96</v>
      </c>
    </row>
    <row r="402" spans="1:1" x14ac:dyDescent="0.2">
      <c r="A402" t="s">
        <v>85</v>
      </c>
    </row>
    <row r="403" spans="1:1" x14ac:dyDescent="0.2">
      <c r="A403" t="s">
        <v>99</v>
      </c>
    </row>
    <row r="404" spans="1:1" x14ac:dyDescent="0.2">
      <c r="A404" t="s">
        <v>176</v>
      </c>
    </row>
    <row r="405" spans="1:1" x14ac:dyDescent="0.2">
      <c r="A405" t="s">
        <v>99</v>
      </c>
    </row>
    <row r="406" spans="1:1" x14ac:dyDescent="0.2">
      <c r="A406" t="s">
        <v>85</v>
      </c>
    </row>
    <row r="407" spans="1:1" x14ac:dyDescent="0.2">
      <c r="A407" t="s">
        <v>83</v>
      </c>
    </row>
    <row r="408" spans="1:1" x14ac:dyDescent="0.2">
      <c r="A408" t="s">
        <v>96</v>
      </c>
    </row>
    <row r="409" spans="1:1" x14ac:dyDescent="0.2">
      <c r="A409" t="s">
        <v>96</v>
      </c>
    </row>
    <row r="410" spans="1:1" x14ac:dyDescent="0.2">
      <c r="A410" t="s">
        <v>85</v>
      </c>
    </row>
    <row r="411" spans="1:1" x14ac:dyDescent="0.2">
      <c r="A411" t="s">
        <v>86</v>
      </c>
    </row>
    <row r="412" spans="1:1" x14ac:dyDescent="0.2">
      <c r="A412" t="s">
        <v>83</v>
      </c>
    </row>
    <row r="413" spans="1:1" x14ac:dyDescent="0.2">
      <c r="A413" t="s">
        <v>102</v>
      </c>
    </row>
    <row r="414" spans="1:1" x14ac:dyDescent="0.2">
      <c r="A414" t="s">
        <v>183</v>
      </c>
    </row>
    <row r="415" spans="1:1" x14ac:dyDescent="0.2">
      <c r="A415" t="s">
        <v>85</v>
      </c>
    </row>
    <row r="416" spans="1:1" x14ac:dyDescent="0.2">
      <c r="A416" t="s">
        <v>108</v>
      </c>
    </row>
    <row r="417" spans="1:1" x14ac:dyDescent="0.2">
      <c r="A417" t="s">
        <v>85</v>
      </c>
    </row>
    <row r="418" spans="1:1" x14ac:dyDescent="0.2">
      <c r="A418" t="s">
        <v>96</v>
      </c>
    </row>
    <row r="419" spans="1:1" x14ac:dyDescent="0.2">
      <c r="A419" t="s">
        <v>91</v>
      </c>
    </row>
    <row r="420" spans="1:1" x14ac:dyDescent="0.2">
      <c r="A420" t="s">
        <v>83</v>
      </c>
    </row>
    <row r="421" spans="1:1" x14ac:dyDescent="0.2">
      <c r="A421" t="s">
        <v>108</v>
      </c>
    </row>
    <row r="422" spans="1:1" x14ac:dyDescent="0.2">
      <c r="A422" t="s">
        <v>96</v>
      </c>
    </row>
    <row r="423" spans="1:1" x14ac:dyDescent="0.2">
      <c r="A423" t="s">
        <v>96</v>
      </c>
    </row>
    <row r="424" spans="1:1" x14ac:dyDescent="0.2">
      <c r="A424" t="s">
        <v>96</v>
      </c>
    </row>
    <row r="425" spans="1:1" x14ac:dyDescent="0.2">
      <c r="A425" t="s">
        <v>86</v>
      </c>
    </row>
    <row r="426" spans="1:1" x14ac:dyDescent="0.2">
      <c r="A426" t="s">
        <v>101</v>
      </c>
    </row>
    <row r="427" spans="1:1" x14ac:dyDescent="0.2">
      <c r="A427" t="s">
        <v>85</v>
      </c>
    </row>
    <row r="428" spans="1:1" x14ac:dyDescent="0.2">
      <c r="A428" t="s">
        <v>96</v>
      </c>
    </row>
    <row r="429" spans="1:1" x14ac:dyDescent="0.2">
      <c r="A429" t="s">
        <v>86</v>
      </c>
    </row>
    <row r="430" spans="1:1" x14ac:dyDescent="0.2">
      <c r="A430" t="s">
        <v>96</v>
      </c>
    </row>
    <row r="431" spans="1:1" x14ac:dyDescent="0.2">
      <c r="A431" t="s">
        <v>89</v>
      </c>
    </row>
    <row r="432" spans="1:1" x14ac:dyDescent="0.2">
      <c r="A432" t="s">
        <v>86</v>
      </c>
    </row>
    <row r="433" spans="1:1" x14ac:dyDescent="0.2">
      <c r="A433" t="s">
        <v>83</v>
      </c>
    </row>
    <row r="434" spans="1:1" x14ac:dyDescent="0.2">
      <c r="A434" t="s">
        <v>184</v>
      </c>
    </row>
    <row r="435" spans="1:1" x14ac:dyDescent="0.2">
      <c r="A435" t="s">
        <v>86</v>
      </c>
    </row>
    <row r="436" spans="1:1" x14ac:dyDescent="0.2">
      <c r="A436" t="s">
        <v>86</v>
      </c>
    </row>
    <row r="437" spans="1:1" x14ac:dyDescent="0.2">
      <c r="A437" t="s">
        <v>89</v>
      </c>
    </row>
    <row r="438" spans="1:1" x14ac:dyDescent="0.2">
      <c r="A438" t="s">
        <v>85</v>
      </c>
    </row>
    <row r="439" spans="1:1" x14ac:dyDescent="0.2">
      <c r="A439" t="s">
        <v>101</v>
      </c>
    </row>
    <row r="440" spans="1:1" x14ac:dyDescent="0.2">
      <c r="A440" t="s">
        <v>84</v>
      </c>
    </row>
    <row r="441" spans="1:1" x14ac:dyDescent="0.2">
      <c r="A441" t="s">
        <v>91</v>
      </c>
    </row>
    <row r="442" spans="1:1" x14ac:dyDescent="0.2">
      <c r="A442" t="s">
        <v>86</v>
      </c>
    </row>
    <row r="443" spans="1:1" x14ac:dyDescent="0.2">
      <c r="A443" t="s">
        <v>86</v>
      </c>
    </row>
    <row r="444" spans="1:1" x14ac:dyDescent="0.2">
      <c r="A444" t="s">
        <v>86</v>
      </c>
    </row>
    <row r="445" spans="1:1" x14ac:dyDescent="0.2">
      <c r="A445" t="s">
        <v>86</v>
      </c>
    </row>
    <row r="446" spans="1:1" x14ac:dyDescent="0.2">
      <c r="A446" t="s">
        <v>96</v>
      </c>
    </row>
    <row r="447" spans="1:1" x14ac:dyDescent="0.2">
      <c r="A447" t="s">
        <v>86</v>
      </c>
    </row>
    <row r="448" spans="1:1" x14ac:dyDescent="0.2">
      <c r="A448" t="s">
        <v>96</v>
      </c>
    </row>
    <row r="449" spans="1:1" x14ac:dyDescent="0.2">
      <c r="A449" t="s">
        <v>96</v>
      </c>
    </row>
    <row r="450" spans="1:1" x14ac:dyDescent="0.2">
      <c r="A450" t="s">
        <v>92</v>
      </c>
    </row>
    <row r="451" spans="1:1" x14ac:dyDescent="0.2">
      <c r="A451" t="s">
        <v>86</v>
      </c>
    </row>
    <row r="452" spans="1:1" x14ac:dyDescent="0.2">
      <c r="A452" t="s">
        <v>177</v>
      </c>
    </row>
    <row r="453" spans="1:1" x14ac:dyDescent="0.2">
      <c r="A453" t="s">
        <v>96</v>
      </c>
    </row>
    <row r="454" spans="1:1" x14ac:dyDescent="0.2">
      <c r="A454" t="s">
        <v>86</v>
      </c>
    </row>
    <row r="455" spans="1:1" x14ac:dyDescent="0.2">
      <c r="A455" t="s">
        <v>103</v>
      </c>
    </row>
    <row r="456" spans="1:1" x14ac:dyDescent="0.2">
      <c r="A456" t="s">
        <v>185</v>
      </c>
    </row>
    <row r="457" spans="1:1" x14ac:dyDescent="0.2">
      <c r="A457" t="s">
        <v>86</v>
      </c>
    </row>
    <row r="458" spans="1:1" x14ac:dyDescent="0.2">
      <c r="A458" t="s">
        <v>85</v>
      </c>
    </row>
    <row r="459" spans="1:1" x14ac:dyDescent="0.2">
      <c r="A459" t="s">
        <v>96</v>
      </c>
    </row>
    <row r="460" spans="1:1" x14ac:dyDescent="0.2">
      <c r="A460" t="s">
        <v>96</v>
      </c>
    </row>
    <row r="461" spans="1:1" x14ac:dyDescent="0.2">
      <c r="A461" t="s">
        <v>86</v>
      </c>
    </row>
    <row r="462" spans="1:1" x14ac:dyDescent="0.2">
      <c r="A462" t="s">
        <v>86</v>
      </c>
    </row>
    <row r="463" spans="1:1" x14ac:dyDescent="0.2">
      <c r="A463" t="s">
        <v>86</v>
      </c>
    </row>
    <row r="464" spans="1:1" x14ac:dyDescent="0.2">
      <c r="A464" t="s">
        <v>86</v>
      </c>
    </row>
    <row r="465" spans="1:1" x14ac:dyDescent="0.2">
      <c r="A465" t="s">
        <v>96</v>
      </c>
    </row>
    <row r="466" spans="1:1" x14ac:dyDescent="0.2">
      <c r="A466" t="s">
        <v>96</v>
      </c>
    </row>
    <row r="467" spans="1:1" x14ac:dyDescent="0.2">
      <c r="A467" t="s">
        <v>96</v>
      </c>
    </row>
    <row r="468" spans="1:1" x14ac:dyDescent="0.2">
      <c r="A468" t="s">
        <v>147</v>
      </c>
    </row>
    <row r="469" spans="1:1" x14ac:dyDescent="0.2">
      <c r="A469" t="s">
        <v>86</v>
      </c>
    </row>
    <row r="470" spans="1:1" x14ac:dyDescent="0.2">
      <c r="A470" t="s">
        <v>85</v>
      </c>
    </row>
    <row r="471" spans="1:1" x14ac:dyDescent="0.2">
      <c r="A471" t="s">
        <v>138</v>
      </c>
    </row>
    <row r="472" spans="1:1" x14ac:dyDescent="0.2">
      <c r="A472" t="s">
        <v>165</v>
      </c>
    </row>
    <row r="473" spans="1:1" x14ac:dyDescent="0.2">
      <c r="A473" t="s">
        <v>99</v>
      </c>
    </row>
    <row r="474" spans="1:1" x14ac:dyDescent="0.2">
      <c r="A474" t="s">
        <v>186</v>
      </c>
    </row>
    <row r="475" spans="1:1" x14ac:dyDescent="0.2">
      <c r="A475" t="s">
        <v>86</v>
      </c>
    </row>
    <row r="476" spans="1:1" x14ac:dyDescent="0.2">
      <c r="A476" t="s">
        <v>96</v>
      </c>
    </row>
    <row r="477" spans="1:1" x14ac:dyDescent="0.2">
      <c r="A477" t="s">
        <v>187</v>
      </c>
    </row>
    <row r="478" spans="1:1" x14ac:dyDescent="0.2">
      <c r="A478" t="s">
        <v>85</v>
      </c>
    </row>
    <row r="479" spans="1:1" x14ac:dyDescent="0.2">
      <c r="A479" t="s">
        <v>99</v>
      </c>
    </row>
    <row r="480" spans="1:1" x14ac:dyDescent="0.2">
      <c r="A480" t="s">
        <v>85</v>
      </c>
    </row>
    <row r="481" spans="1:1" x14ac:dyDescent="0.2">
      <c r="A481" t="s">
        <v>96</v>
      </c>
    </row>
    <row r="482" spans="1:1" x14ac:dyDescent="0.2">
      <c r="A482" t="s">
        <v>85</v>
      </c>
    </row>
    <row r="483" spans="1:1" x14ac:dyDescent="0.2">
      <c r="A483" t="s">
        <v>99</v>
      </c>
    </row>
    <row r="484" spans="1:1" x14ac:dyDescent="0.2">
      <c r="A484" t="s">
        <v>85</v>
      </c>
    </row>
    <row r="485" spans="1:1" x14ac:dyDescent="0.2">
      <c r="A485" t="s">
        <v>96</v>
      </c>
    </row>
    <row r="486" spans="1:1" x14ac:dyDescent="0.2">
      <c r="A486" t="s">
        <v>85</v>
      </c>
    </row>
    <row r="487" spans="1:1" x14ac:dyDescent="0.2">
      <c r="A487" t="s">
        <v>86</v>
      </c>
    </row>
    <row r="488" spans="1:1" x14ac:dyDescent="0.2">
      <c r="A488" t="s">
        <v>100</v>
      </c>
    </row>
    <row r="489" spans="1:1" x14ac:dyDescent="0.2">
      <c r="A489" t="s">
        <v>96</v>
      </c>
    </row>
    <row r="490" spans="1:1" x14ac:dyDescent="0.2">
      <c r="A490" t="s">
        <v>85</v>
      </c>
    </row>
    <row r="491" spans="1:1" x14ac:dyDescent="0.2">
      <c r="A491" t="s">
        <v>96</v>
      </c>
    </row>
    <row r="492" spans="1:1" x14ac:dyDescent="0.2">
      <c r="A492" t="s">
        <v>96</v>
      </c>
    </row>
    <row r="493" spans="1:1" x14ac:dyDescent="0.2">
      <c r="A493" t="s">
        <v>96</v>
      </c>
    </row>
    <row r="494" spans="1:1" x14ac:dyDescent="0.2">
      <c r="A494" t="s">
        <v>84</v>
      </c>
    </row>
    <row r="495" spans="1:1" x14ac:dyDescent="0.2">
      <c r="A495" t="s">
        <v>85</v>
      </c>
    </row>
    <row r="496" spans="1:1" x14ac:dyDescent="0.2">
      <c r="A496" t="s">
        <v>85</v>
      </c>
    </row>
    <row r="497" spans="1:1" x14ac:dyDescent="0.2">
      <c r="A497" t="s">
        <v>85</v>
      </c>
    </row>
    <row r="498" spans="1:1" x14ac:dyDescent="0.2">
      <c r="A498" t="s">
        <v>99</v>
      </c>
    </row>
    <row r="499" spans="1:1" x14ac:dyDescent="0.2">
      <c r="A499" t="s">
        <v>96</v>
      </c>
    </row>
    <row r="500" spans="1:1" x14ac:dyDescent="0.2">
      <c r="A500" t="s">
        <v>86</v>
      </c>
    </row>
    <row r="501" spans="1:1" x14ac:dyDescent="0.2">
      <c r="A501" t="s">
        <v>168</v>
      </c>
    </row>
    <row r="502" spans="1:1" x14ac:dyDescent="0.2">
      <c r="A502" t="s">
        <v>188</v>
      </c>
    </row>
    <row r="503" spans="1:1" x14ac:dyDescent="0.2">
      <c r="A503" t="s">
        <v>85</v>
      </c>
    </row>
    <row r="504" spans="1:1" x14ac:dyDescent="0.2">
      <c r="A504" t="s">
        <v>96</v>
      </c>
    </row>
    <row r="505" spans="1:1" x14ac:dyDescent="0.2">
      <c r="A505" t="s">
        <v>189</v>
      </c>
    </row>
    <row r="506" spans="1:1" x14ac:dyDescent="0.2">
      <c r="A506" t="s">
        <v>96</v>
      </c>
    </row>
    <row r="507" spans="1:1" x14ac:dyDescent="0.2">
      <c r="A507" t="s">
        <v>86</v>
      </c>
    </row>
    <row r="508" spans="1:1" x14ac:dyDescent="0.2">
      <c r="A508" t="s">
        <v>85</v>
      </c>
    </row>
    <row r="509" spans="1:1" x14ac:dyDescent="0.2">
      <c r="A509" t="s">
        <v>83</v>
      </c>
    </row>
    <row r="510" spans="1:1" x14ac:dyDescent="0.2">
      <c r="A510" t="s">
        <v>190</v>
      </c>
    </row>
    <row r="511" spans="1:1" x14ac:dyDescent="0.2">
      <c r="A511" t="s">
        <v>86</v>
      </c>
    </row>
    <row r="512" spans="1:1" x14ac:dyDescent="0.2">
      <c r="A512" t="s">
        <v>85</v>
      </c>
    </row>
    <row r="513" spans="1:1" x14ac:dyDescent="0.2">
      <c r="A513" t="s">
        <v>96</v>
      </c>
    </row>
    <row r="514" spans="1:1" x14ac:dyDescent="0.2">
      <c r="A514" t="s">
        <v>191</v>
      </c>
    </row>
    <row r="515" spans="1:1" x14ac:dyDescent="0.2">
      <c r="A515" t="s">
        <v>85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939CD-42F4-C642-9C37-4BB62F319084}">
  <dimension ref="A1:C31"/>
  <sheetViews>
    <sheetView workbookViewId="0">
      <selection activeCell="E25" sqref="E25"/>
    </sheetView>
  </sheetViews>
  <sheetFormatPr baseColWidth="10" defaultRowHeight="16" x14ac:dyDescent="0.2"/>
  <cols>
    <col min="1" max="1" width="35.1640625" customWidth="1"/>
    <col min="2" max="2" width="13" customWidth="1"/>
    <col min="3" max="3" width="16.33203125" style="69" customWidth="1"/>
  </cols>
  <sheetData>
    <row r="1" spans="1:3" x14ac:dyDescent="0.2">
      <c r="A1" s="63" t="s">
        <v>338</v>
      </c>
      <c r="B1" s="63" t="s">
        <v>339</v>
      </c>
      <c r="C1" s="70" t="s">
        <v>337</v>
      </c>
    </row>
    <row r="2" spans="1:3" x14ac:dyDescent="0.2">
      <c r="A2" s="65" t="s">
        <v>308</v>
      </c>
      <c r="B2" t="s">
        <v>333</v>
      </c>
      <c r="C2" s="69" t="s">
        <v>350</v>
      </c>
    </row>
    <row r="3" spans="1:3" x14ac:dyDescent="0.2">
      <c r="A3" s="65" t="s">
        <v>309</v>
      </c>
      <c r="B3" t="s">
        <v>332</v>
      </c>
      <c r="C3" s="69" t="s">
        <v>349</v>
      </c>
    </row>
    <row r="4" spans="1:3" x14ac:dyDescent="0.2">
      <c r="A4" s="65" t="s">
        <v>310</v>
      </c>
      <c r="B4" t="s">
        <v>340</v>
      </c>
      <c r="C4" s="69" t="s">
        <v>341</v>
      </c>
    </row>
    <row r="5" spans="1:3" x14ac:dyDescent="0.2">
      <c r="A5" s="65" t="s">
        <v>356</v>
      </c>
      <c r="C5" s="69" t="s">
        <v>355</v>
      </c>
    </row>
    <row r="6" spans="1:3" x14ac:dyDescent="0.2">
      <c r="A6" s="65" t="s">
        <v>311</v>
      </c>
      <c r="C6" s="69" t="s">
        <v>364</v>
      </c>
    </row>
    <row r="7" spans="1:3" x14ac:dyDescent="0.2">
      <c r="A7" s="65" t="s">
        <v>312</v>
      </c>
      <c r="C7" s="69" t="s">
        <v>345</v>
      </c>
    </row>
    <row r="8" spans="1:3" x14ac:dyDescent="0.2">
      <c r="A8" s="65" t="s">
        <v>313</v>
      </c>
      <c r="C8" s="69" t="s">
        <v>354</v>
      </c>
    </row>
    <row r="9" spans="1:3" x14ac:dyDescent="0.2">
      <c r="A9" s="65" t="s">
        <v>314</v>
      </c>
      <c r="C9" s="69" t="s">
        <v>351</v>
      </c>
    </row>
    <row r="10" spans="1:3" x14ac:dyDescent="0.2">
      <c r="A10" s="65" t="s">
        <v>315</v>
      </c>
      <c r="B10" t="s">
        <v>358</v>
      </c>
      <c r="C10" s="69" t="s">
        <v>357</v>
      </c>
    </row>
    <row r="11" spans="1:3" x14ac:dyDescent="0.2">
      <c r="A11" s="65" t="s">
        <v>316</v>
      </c>
      <c r="C11" s="69" t="s">
        <v>343</v>
      </c>
    </row>
    <row r="12" spans="1:3" x14ac:dyDescent="0.2">
      <c r="A12" s="65" t="s">
        <v>317</v>
      </c>
      <c r="B12" t="s">
        <v>336</v>
      </c>
      <c r="C12" s="69" t="s">
        <v>365</v>
      </c>
    </row>
    <row r="13" spans="1:3" x14ac:dyDescent="0.2">
      <c r="A13" s="65" t="s">
        <v>353</v>
      </c>
      <c r="B13" t="s">
        <v>331</v>
      </c>
      <c r="C13" s="69" t="s">
        <v>352</v>
      </c>
    </row>
    <row r="14" spans="1:3" x14ac:dyDescent="0.2">
      <c r="A14" s="65" t="s">
        <v>359</v>
      </c>
      <c r="C14" s="69" t="s">
        <v>360</v>
      </c>
    </row>
    <row r="15" spans="1:3" x14ac:dyDescent="0.2">
      <c r="A15" s="65" t="s">
        <v>318</v>
      </c>
      <c r="B15" t="s">
        <v>332</v>
      </c>
      <c r="C15" s="69" t="s">
        <v>366</v>
      </c>
    </row>
    <row r="16" spans="1:3" x14ac:dyDescent="0.2">
      <c r="A16" s="65" t="s">
        <v>319</v>
      </c>
      <c r="C16" s="69" t="s">
        <v>347</v>
      </c>
    </row>
    <row r="17" spans="1:3" x14ac:dyDescent="0.2">
      <c r="A17" s="65" t="s">
        <v>320</v>
      </c>
      <c r="C17" s="69" t="s">
        <v>348</v>
      </c>
    </row>
    <row r="18" spans="1:3" x14ac:dyDescent="0.2">
      <c r="A18" s="65" t="s">
        <v>321</v>
      </c>
      <c r="C18" s="69" t="s">
        <v>368</v>
      </c>
    </row>
    <row r="19" spans="1:3" x14ac:dyDescent="0.2">
      <c r="A19" s="65" t="s">
        <v>322</v>
      </c>
      <c r="C19" s="69" t="s">
        <v>367</v>
      </c>
    </row>
    <row r="20" spans="1:3" x14ac:dyDescent="0.2">
      <c r="A20" s="65" t="s">
        <v>323</v>
      </c>
      <c r="C20" s="69" t="s">
        <v>369</v>
      </c>
    </row>
    <row r="21" spans="1:3" x14ac:dyDescent="0.2">
      <c r="A21" s="65" t="s">
        <v>361</v>
      </c>
      <c r="B21" t="s">
        <v>363</v>
      </c>
      <c r="C21" s="69" t="s">
        <v>362</v>
      </c>
    </row>
    <row r="22" spans="1:3" x14ac:dyDescent="0.2">
      <c r="A22" s="65" t="s">
        <v>324</v>
      </c>
      <c r="C22" s="69" t="s">
        <v>344</v>
      </c>
    </row>
    <row r="23" spans="1:3" x14ac:dyDescent="0.2">
      <c r="A23" s="65" t="s">
        <v>325</v>
      </c>
      <c r="C23" s="69" t="s">
        <v>346</v>
      </c>
    </row>
    <row r="24" spans="1:3" x14ac:dyDescent="0.2">
      <c r="A24" s="65" t="s">
        <v>335</v>
      </c>
      <c r="B24" t="s">
        <v>334</v>
      </c>
      <c r="C24" s="69" t="s">
        <v>376</v>
      </c>
    </row>
    <row r="25" spans="1:3" x14ac:dyDescent="0.2">
      <c r="A25" s="65" t="s">
        <v>326</v>
      </c>
      <c r="C25" s="69" t="s">
        <v>366</v>
      </c>
    </row>
    <row r="26" spans="1:3" x14ac:dyDescent="0.2">
      <c r="A26" s="65" t="s">
        <v>327</v>
      </c>
      <c r="B26" t="s">
        <v>377</v>
      </c>
      <c r="C26" s="69" t="s">
        <v>349</v>
      </c>
    </row>
    <row r="27" spans="1:3" x14ac:dyDescent="0.2">
      <c r="A27" s="65" t="s">
        <v>374</v>
      </c>
      <c r="B27" t="s">
        <v>375</v>
      </c>
      <c r="C27" s="69" t="s">
        <v>365</v>
      </c>
    </row>
    <row r="28" spans="1:3" x14ac:dyDescent="0.2">
      <c r="A28" s="65" t="s">
        <v>328</v>
      </c>
      <c r="B28" t="s">
        <v>370</v>
      </c>
      <c r="C28" s="69" t="s">
        <v>349</v>
      </c>
    </row>
    <row r="29" spans="1:3" x14ac:dyDescent="0.2">
      <c r="A29" s="65" t="s">
        <v>329</v>
      </c>
      <c r="C29" s="69" t="s">
        <v>342</v>
      </c>
    </row>
    <row r="30" spans="1:3" x14ac:dyDescent="0.2">
      <c r="A30" s="65" t="s">
        <v>330</v>
      </c>
      <c r="C30" s="69" t="s">
        <v>371</v>
      </c>
    </row>
    <row r="31" spans="1:3" x14ac:dyDescent="0.2">
      <c r="A31" s="66" t="s">
        <v>372</v>
      </c>
      <c r="B31" s="63"/>
      <c r="C31" s="68" t="s">
        <v>373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F148C-F3E9-6843-83D9-DC44662032B6}">
  <dimension ref="A1:AF18"/>
  <sheetViews>
    <sheetView topLeftCell="T10" workbookViewId="0">
      <selection activeCell="AE6" sqref="AE6"/>
    </sheetView>
  </sheetViews>
  <sheetFormatPr baseColWidth="10" defaultRowHeight="16" x14ac:dyDescent="0.2"/>
  <cols>
    <col min="2" max="2" width="11.6640625" customWidth="1"/>
  </cols>
  <sheetData>
    <row r="1" spans="1:32" ht="85" x14ac:dyDescent="0.2">
      <c r="A1" s="47" t="s">
        <v>0</v>
      </c>
      <c r="B1" s="47" t="s">
        <v>1</v>
      </c>
      <c r="C1" s="47" t="s">
        <v>55</v>
      </c>
      <c r="D1" s="47" t="s">
        <v>39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63</v>
      </c>
      <c r="K1" s="47" t="s">
        <v>62</v>
      </c>
      <c r="L1" s="47" t="s">
        <v>68</v>
      </c>
      <c r="M1" s="47" t="s">
        <v>70</v>
      </c>
      <c r="N1" s="47" t="s">
        <v>65</v>
      </c>
      <c r="O1" s="47" t="s">
        <v>282</v>
      </c>
      <c r="P1" s="47" t="s">
        <v>66</v>
      </c>
      <c r="Q1" s="47" t="s">
        <v>71</v>
      </c>
      <c r="R1" s="47" t="s">
        <v>73</v>
      </c>
      <c r="S1" s="47" t="s">
        <v>72</v>
      </c>
      <c r="T1" s="47" t="s">
        <v>74</v>
      </c>
      <c r="U1" s="47" t="s">
        <v>283</v>
      </c>
      <c r="V1" s="47" t="s">
        <v>284</v>
      </c>
      <c r="W1" s="47" t="s">
        <v>53</v>
      </c>
      <c r="X1" s="47" t="s">
        <v>67</v>
      </c>
      <c r="Y1" s="47" t="s">
        <v>69</v>
      </c>
    </row>
    <row r="2" spans="1:32" x14ac:dyDescent="0.2">
      <c r="A2" s="43">
        <v>231</v>
      </c>
      <c r="B2" s="43" t="s">
        <v>9</v>
      </c>
      <c r="C2" s="43" t="s">
        <v>64</v>
      </c>
      <c r="D2" s="44" t="s">
        <v>41</v>
      </c>
      <c r="E2" s="43">
        <v>100</v>
      </c>
      <c r="F2" s="43">
        <v>743</v>
      </c>
      <c r="G2" s="43">
        <v>0.3</v>
      </c>
      <c r="H2" s="43">
        <v>19284</v>
      </c>
      <c r="I2" s="43">
        <v>21252</v>
      </c>
      <c r="J2" s="43">
        <v>2462</v>
      </c>
      <c r="K2" s="43">
        <v>1467</v>
      </c>
      <c r="L2" s="43">
        <v>1932</v>
      </c>
      <c r="M2" s="43">
        <v>1630</v>
      </c>
      <c r="N2" s="43">
        <v>3437</v>
      </c>
      <c r="O2" s="43">
        <v>3782</v>
      </c>
      <c r="P2" s="43">
        <v>3218</v>
      </c>
      <c r="Q2" s="43">
        <v>104</v>
      </c>
      <c r="R2" s="43">
        <v>18</v>
      </c>
      <c r="S2" s="43">
        <v>7</v>
      </c>
      <c r="T2" s="43">
        <v>0</v>
      </c>
      <c r="U2" s="43">
        <v>0.27698574338085502</v>
      </c>
      <c r="V2" s="43">
        <v>0.186409307244844</v>
      </c>
      <c r="W2" s="43">
        <v>0.114906832298136</v>
      </c>
      <c r="X2" s="43">
        <v>1392</v>
      </c>
      <c r="Y2" s="43">
        <v>823</v>
      </c>
      <c r="AB2">
        <v>1</v>
      </c>
      <c r="AC2">
        <v>2</v>
      </c>
      <c r="AD2">
        <v>3</v>
      </c>
      <c r="AE2">
        <v>4</v>
      </c>
      <c r="AF2">
        <v>100</v>
      </c>
    </row>
    <row r="3" spans="1:32" x14ac:dyDescent="0.2">
      <c r="A3" s="43">
        <v>233</v>
      </c>
      <c r="B3" s="43" t="s">
        <v>11</v>
      </c>
      <c r="C3" s="43" t="s">
        <v>64</v>
      </c>
      <c r="D3" s="44" t="s">
        <v>41</v>
      </c>
      <c r="E3" s="43">
        <v>265</v>
      </c>
      <c r="F3" s="43">
        <v>666</v>
      </c>
      <c r="G3" s="43">
        <v>0.3</v>
      </c>
      <c r="H3" s="43">
        <v>19978</v>
      </c>
      <c r="I3" s="43">
        <v>18899</v>
      </c>
      <c r="J3" s="43">
        <v>1862</v>
      </c>
      <c r="K3" s="43">
        <v>1243</v>
      </c>
      <c r="L3" s="43">
        <v>1616</v>
      </c>
      <c r="M3" s="43">
        <v>1409</v>
      </c>
      <c r="N3" s="43">
        <v>2854</v>
      </c>
      <c r="O3" s="43">
        <v>3229</v>
      </c>
      <c r="P3" s="43">
        <v>2658</v>
      </c>
      <c r="Q3" s="43">
        <v>1</v>
      </c>
      <c r="R3" s="43">
        <v>28</v>
      </c>
      <c r="S3" s="43">
        <v>2</v>
      </c>
      <c r="T3" s="43">
        <v>1</v>
      </c>
      <c r="U3" s="43">
        <v>0.29572529782760998</v>
      </c>
      <c r="V3" s="43">
        <v>0.18612573552183301</v>
      </c>
      <c r="W3" s="43">
        <v>9.4059405940594004E-2</v>
      </c>
      <c r="X3" s="43">
        <v>1129</v>
      </c>
      <c r="Y3" s="43">
        <v>757</v>
      </c>
      <c r="AB3">
        <v>1</v>
      </c>
      <c r="AC3">
        <v>2</v>
      </c>
      <c r="AD3">
        <v>3</v>
      </c>
      <c r="AE3">
        <v>4</v>
      </c>
      <c r="AF3">
        <v>265</v>
      </c>
    </row>
    <row r="4" spans="1:32" x14ac:dyDescent="0.2">
      <c r="A4" s="43">
        <v>243</v>
      </c>
      <c r="B4" s="43" t="s">
        <v>19</v>
      </c>
      <c r="C4" s="43" t="s">
        <v>75</v>
      </c>
      <c r="D4" s="44" t="s">
        <v>41</v>
      </c>
      <c r="E4" s="43">
        <v>965</v>
      </c>
      <c r="F4" s="43"/>
      <c r="G4" s="43">
        <v>0.3</v>
      </c>
      <c r="H4" s="43">
        <v>20664</v>
      </c>
      <c r="I4" s="43">
        <v>15893</v>
      </c>
      <c r="J4" s="43">
        <v>505</v>
      </c>
      <c r="K4" s="43">
        <v>319</v>
      </c>
      <c r="L4" s="43">
        <v>477</v>
      </c>
      <c r="M4" s="43">
        <v>405</v>
      </c>
      <c r="N4" s="43">
        <v>1305</v>
      </c>
      <c r="O4" s="43">
        <v>1814</v>
      </c>
      <c r="P4" s="43">
        <v>1189</v>
      </c>
      <c r="Q4" s="43">
        <v>1</v>
      </c>
      <c r="R4" s="43">
        <v>7</v>
      </c>
      <c r="S4" s="43">
        <v>0</v>
      </c>
      <c r="T4" s="43">
        <v>0</v>
      </c>
      <c r="U4" s="43">
        <v>0.30727969348659001</v>
      </c>
      <c r="V4" s="43">
        <v>0.18136714443219401</v>
      </c>
      <c r="W4" s="43">
        <v>7.7568134171907693E-2</v>
      </c>
      <c r="X4" s="43">
        <v>555</v>
      </c>
      <c r="Y4" s="43">
        <v>225</v>
      </c>
      <c r="AB4">
        <v>1</v>
      </c>
      <c r="AC4">
        <v>2</v>
      </c>
      <c r="AD4">
        <v>3</v>
      </c>
      <c r="AE4">
        <v>4</v>
      </c>
      <c r="AF4">
        <v>965</v>
      </c>
    </row>
    <row r="5" spans="1:32" x14ac:dyDescent="0.2">
      <c r="A5" s="43">
        <v>378</v>
      </c>
      <c r="B5" s="43" t="s">
        <v>61</v>
      </c>
      <c r="C5" s="43" t="s">
        <v>60</v>
      </c>
      <c r="D5" s="44" t="s">
        <v>41</v>
      </c>
      <c r="E5" s="43">
        <v>100</v>
      </c>
      <c r="F5" s="43"/>
      <c r="G5" s="43">
        <v>0.3</v>
      </c>
      <c r="H5" s="43">
        <v>22679</v>
      </c>
      <c r="I5" s="43">
        <v>9540</v>
      </c>
      <c r="J5" s="43">
        <v>342</v>
      </c>
      <c r="K5" s="43">
        <v>317</v>
      </c>
      <c r="L5" s="43">
        <v>330</v>
      </c>
      <c r="M5" s="43">
        <v>302</v>
      </c>
      <c r="N5" s="43">
        <v>1282</v>
      </c>
      <c r="O5" s="43">
        <v>1476</v>
      </c>
      <c r="P5" s="43">
        <v>1207</v>
      </c>
      <c r="Q5" s="43">
        <v>1</v>
      </c>
      <c r="R5" s="43">
        <v>0</v>
      </c>
      <c r="S5" s="43">
        <v>1</v>
      </c>
      <c r="T5" s="43">
        <v>0</v>
      </c>
      <c r="U5" s="43">
        <v>0.34321372854914101</v>
      </c>
      <c r="V5" s="43">
        <v>0.23780487804878001</v>
      </c>
      <c r="W5" s="43">
        <v>8.7878787878787806E-2</v>
      </c>
      <c r="X5" s="43">
        <v>551</v>
      </c>
      <c r="Y5" s="43">
        <v>212</v>
      </c>
    </row>
    <row r="6" spans="1:32" x14ac:dyDescent="0.2">
      <c r="A6" s="43">
        <v>278</v>
      </c>
      <c r="B6" s="43" t="s">
        <v>59</v>
      </c>
      <c r="C6" s="43" t="s">
        <v>56</v>
      </c>
      <c r="D6" s="44" t="s">
        <v>41</v>
      </c>
      <c r="E6" s="43">
        <v>265</v>
      </c>
      <c r="F6" s="43"/>
      <c r="G6" s="43">
        <v>0.3</v>
      </c>
      <c r="H6" s="43">
        <v>16029</v>
      </c>
      <c r="I6" s="43">
        <v>36021</v>
      </c>
      <c r="J6" s="43">
        <v>890</v>
      </c>
      <c r="K6" s="43">
        <v>453</v>
      </c>
      <c r="L6" s="43">
        <v>849</v>
      </c>
      <c r="M6" s="43">
        <v>777</v>
      </c>
      <c r="N6" s="43">
        <v>9325</v>
      </c>
      <c r="O6" s="43">
        <v>12235</v>
      </c>
      <c r="P6" s="43">
        <v>9050</v>
      </c>
      <c r="Q6" s="43">
        <v>1</v>
      </c>
      <c r="R6" s="43">
        <v>1</v>
      </c>
      <c r="S6" s="43">
        <v>1</v>
      </c>
      <c r="T6" s="43">
        <v>1</v>
      </c>
      <c r="U6" s="43">
        <v>0.57608579088471801</v>
      </c>
      <c r="V6" s="43">
        <v>0.28426644871270901</v>
      </c>
      <c r="W6" s="43">
        <v>0.12838633686690201</v>
      </c>
      <c r="X6" s="43">
        <v>3125</v>
      </c>
      <c r="Y6" s="43">
        <v>522</v>
      </c>
    </row>
    <row r="7" spans="1:32" x14ac:dyDescent="0.2">
      <c r="A7" s="43">
        <v>273</v>
      </c>
      <c r="B7" s="43" t="s">
        <v>42</v>
      </c>
      <c r="C7" s="43" t="s">
        <v>56</v>
      </c>
      <c r="D7" s="44" t="s">
        <v>41</v>
      </c>
      <c r="E7" s="43">
        <v>965</v>
      </c>
      <c r="F7" s="43"/>
      <c r="G7" s="43">
        <v>0.3</v>
      </c>
      <c r="H7" s="43">
        <v>17216</v>
      </c>
      <c r="I7" s="43">
        <v>30735</v>
      </c>
      <c r="J7" s="43">
        <v>717</v>
      </c>
      <c r="K7" s="43">
        <v>391</v>
      </c>
      <c r="L7" s="43">
        <v>651</v>
      </c>
      <c r="M7" s="43">
        <v>593</v>
      </c>
      <c r="N7" s="43">
        <v>7611</v>
      </c>
      <c r="O7" s="43">
        <v>10532</v>
      </c>
      <c r="P7" s="43">
        <v>7239</v>
      </c>
      <c r="Q7" s="43">
        <v>4</v>
      </c>
      <c r="R7" s="43">
        <v>0</v>
      </c>
      <c r="S7" s="43">
        <v>4</v>
      </c>
      <c r="T7" s="43">
        <v>0</v>
      </c>
      <c r="U7" s="43">
        <v>0.52069373275522202</v>
      </c>
      <c r="V7" s="43">
        <v>0.251044436004557</v>
      </c>
      <c r="W7" s="43">
        <v>0.110599078341013</v>
      </c>
      <c r="X7" s="43">
        <v>2851</v>
      </c>
      <c r="Y7" s="43">
        <v>386</v>
      </c>
    </row>
    <row r="10" spans="1:32" x14ac:dyDescent="0.2">
      <c r="V10" t="s">
        <v>299</v>
      </c>
      <c r="AF10" t="s">
        <v>300</v>
      </c>
    </row>
    <row r="12" spans="1:32" x14ac:dyDescent="0.2">
      <c r="N12" s="56"/>
      <c r="O12" s="57" t="s">
        <v>286</v>
      </c>
      <c r="P12" s="58" t="s">
        <v>287</v>
      </c>
      <c r="Q12" s="59" t="s">
        <v>288</v>
      </c>
      <c r="R12" t="s">
        <v>295</v>
      </c>
    </row>
    <row r="13" spans="1:32" x14ac:dyDescent="0.2">
      <c r="N13" s="60" t="s">
        <v>289</v>
      </c>
      <c r="O13">
        <v>3782</v>
      </c>
      <c r="P13">
        <f>O13-Q13</f>
        <v>514</v>
      </c>
      <c r="Q13" s="61">
        <v>3268</v>
      </c>
      <c r="R13">
        <f>P13/O13</f>
        <v>0.13590692755156003</v>
      </c>
    </row>
    <row r="14" spans="1:32" x14ac:dyDescent="0.2">
      <c r="N14" s="60" t="s">
        <v>290</v>
      </c>
      <c r="O14">
        <v>3229</v>
      </c>
      <c r="P14">
        <f>O14-Q14</f>
        <v>499</v>
      </c>
      <c r="Q14" s="61">
        <v>2730</v>
      </c>
      <c r="R14">
        <f t="shared" ref="R14:R18" si="0">P14/O14</f>
        <v>0.15453700836172191</v>
      </c>
    </row>
    <row r="15" spans="1:32" x14ac:dyDescent="0.2">
      <c r="N15" s="60" t="s">
        <v>291</v>
      </c>
      <c r="O15">
        <v>1814</v>
      </c>
      <c r="P15">
        <f t="shared" ref="P15:P18" si="1">O15-Q15</f>
        <v>318</v>
      </c>
      <c r="Q15" s="61">
        <v>1496</v>
      </c>
      <c r="R15">
        <f t="shared" si="0"/>
        <v>0.175303197353914</v>
      </c>
    </row>
    <row r="16" spans="1:32" x14ac:dyDescent="0.2">
      <c r="N16" s="60" t="s">
        <v>292</v>
      </c>
      <c r="O16">
        <v>1476</v>
      </c>
      <c r="P16">
        <f t="shared" si="1"/>
        <v>85</v>
      </c>
      <c r="Q16" s="61">
        <v>1391</v>
      </c>
      <c r="R16">
        <f t="shared" si="0"/>
        <v>5.7588075880758809E-2</v>
      </c>
    </row>
    <row r="17" spans="14:18" x14ac:dyDescent="0.2">
      <c r="N17" s="60" t="s">
        <v>293</v>
      </c>
      <c r="O17">
        <v>12135</v>
      </c>
      <c r="P17">
        <f t="shared" si="1"/>
        <v>1052</v>
      </c>
      <c r="Q17" s="61">
        <v>11083</v>
      </c>
      <c r="R17">
        <f t="shared" si="0"/>
        <v>8.6691388545529463E-2</v>
      </c>
    </row>
    <row r="18" spans="14:18" x14ac:dyDescent="0.2">
      <c r="N18" s="62" t="s">
        <v>294</v>
      </c>
      <c r="O18" s="63">
        <v>10532</v>
      </c>
      <c r="P18" s="63">
        <f t="shared" si="1"/>
        <v>1257</v>
      </c>
      <c r="Q18" s="64">
        <v>9275</v>
      </c>
      <c r="R18">
        <f t="shared" si="0"/>
        <v>0.11935055070262059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4A4FA-7688-A24B-A73E-CC91824D2F7B}">
  <dimension ref="A1:M16"/>
  <sheetViews>
    <sheetView workbookViewId="0">
      <selection activeCell="C23" sqref="C23"/>
    </sheetView>
  </sheetViews>
  <sheetFormatPr baseColWidth="10" defaultRowHeight="16" x14ac:dyDescent="0.2"/>
  <cols>
    <col min="1" max="1" width="20" customWidth="1"/>
    <col min="2" max="2" width="15.1640625" customWidth="1"/>
    <col min="3" max="3" width="19.5" customWidth="1"/>
    <col min="4" max="4" width="13.6640625" style="67" customWidth="1"/>
    <col min="5" max="5" width="14.33203125" style="67" customWidth="1"/>
    <col min="6" max="10" width="13.6640625" style="67" customWidth="1"/>
    <col min="12" max="12" width="18.1640625" customWidth="1"/>
    <col min="13" max="13" width="14" customWidth="1"/>
  </cols>
  <sheetData>
    <row r="1" spans="1:13" ht="17" customHeight="1" x14ac:dyDescent="0.2">
      <c r="A1" s="82" t="s">
        <v>270</v>
      </c>
      <c r="B1" s="80" t="s">
        <v>401</v>
      </c>
      <c r="C1" s="80" t="s">
        <v>402</v>
      </c>
      <c r="D1" s="75" t="s">
        <v>380</v>
      </c>
      <c r="E1" s="75" t="s">
        <v>379</v>
      </c>
      <c r="F1" s="75" t="s">
        <v>381</v>
      </c>
      <c r="G1" s="75" t="s">
        <v>384</v>
      </c>
      <c r="H1" s="75" t="s">
        <v>385</v>
      </c>
      <c r="I1" s="75" t="s">
        <v>386</v>
      </c>
      <c r="J1" s="75" t="s">
        <v>387</v>
      </c>
    </row>
    <row r="2" spans="1:13" s="71" customFormat="1" ht="51" x14ac:dyDescent="0.2">
      <c r="A2" s="83"/>
      <c r="B2" s="81"/>
      <c r="C2" s="81"/>
      <c r="D2" s="76" t="s">
        <v>303</v>
      </c>
      <c r="E2" s="76" t="s">
        <v>378</v>
      </c>
      <c r="F2" s="76" t="s">
        <v>304</v>
      </c>
      <c r="G2" s="76" t="s">
        <v>382</v>
      </c>
      <c r="H2" s="76" t="s">
        <v>383</v>
      </c>
      <c r="I2" s="76" t="s">
        <v>305</v>
      </c>
      <c r="J2" s="76" t="s">
        <v>306</v>
      </c>
      <c r="L2" s="71" t="s">
        <v>307</v>
      </c>
      <c r="M2" s="71" t="s">
        <v>388</v>
      </c>
    </row>
    <row r="3" spans="1:13" x14ac:dyDescent="0.2">
      <c r="A3" s="72" t="s">
        <v>302</v>
      </c>
      <c r="B3" s="73">
        <v>9911</v>
      </c>
      <c r="C3" s="73">
        <v>6426</v>
      </c>
      <c r="D3" s="74">
        <v>1292</v>
      </c>
      <c r="E3" s="74">
        <v>687</v>
      </c>
      <c r="F3" s="74">
        <v>185</v>
      </c>
      <c r="G3" s="74">
        <v>114</v>
      </c>
      <c r="H3" s="74">
        <v>110</v>
      </c>
      <c r="I3" s="74">
        <v>85</v>
      </c>
      <c r="J3" s="74">
        <v>2</v>
      </c>
      <c r="L3">
        <f>(E3+F3)/M3</f>
        <v>0.17426059152677859</v>
      </c>
      <c r="M3">
        <v>5004</v>
      </c>
    </row>
    <row r="4" spans="1:13" x14ac:dyDescent="0.2">
      <c r="A4" s="72" t="s">
        <v>301</v>
      </c>
      <c r="B4" s="73">
        <v>6298</v>
      </c>
      <c r="C4" s="73">
        <v>1129</v>
      </c>
      <c r="D4" s="74">
        <v>232</v>
      </c>
      <c r="E4" s="74">
        <v>134</v>
      </c>
      <c r="F4" s="74">
        <v>43</v>
      </c>
      <c r="G4" s="74">
        <v>16</v>
      </c>
      <c r="H4" s="74">
        <v>33</v>
      </c>
      <c r="I4" s="74">
        <v>11</v>
      </c>
      <c r="J4" s="74"/>
      <c r="L4">
        <f>(E4+F4)/M4</f>
        <v>0.20509849362688296</v>
      </c>
      <c r="M4">
        <v>863</v>
      </c>
    </row>
    <row r="5" spans="1:13" x14ac:dyDescent="0.2">
      <c r="A5" s="72" t="s">
        <v>389</v>
      </c>
      <c r="B5" s="73">
        <v>1630</v>
      </c>
      <c r="C5" s="73">
        <v>104</v>
      </c>
      <c r="D5" s="74">
        <v>13</v>
      </c>
      <c r="E5" s="74">
        <v>9</v>
      </c>
      <c r="F5" s="74">
        <v>11</v>
      </c>
      <c r="G5" s="74"/>
      <c r="H5" s="74"/>
      <c r="I5" s="74"/>
      <c r="J5" s="74"/>
      <c r="L5">
        <f>(E5+F5)/M5</f>
        <v>0.29850746268656714</v>
      </c>
      <c r="M5">
        <v>67</v>
      </c>
    </row>
    <row r="6" spans="1:13" x14ac:dyDescent="0.2">
      <c r="A6" s="72" t="s">
        <v>390</v>
      </c>
      <c r="B6" s="73">
        <v>3218</v>
      </c>
      <c r="C6" s="73">
        <v>7</v>
      </c>
      <c r="D6" s="74"/>
      <c r="E6" s="74">
        <v>2</v>
      </c>
      <c r="F6" s="74"/>
      <c r="G6" s="74"/>
      <c r="H6" s="74"/>
      <c r="I6" s="74">
        <v>1</v>
      </c>
      <c r="J6" s="74">
        <v>2</v>
      </c>
      <c r="L6">
        <f>(E6+F6)/M6</f>
        <v>0.4</v>
      </c>
      <c r="M6">
        <v>5</v>
      </c>
    </row>
    <row r="7" spans="1:13" x14ac:dyDescent="0.2">
      <c r="A7" s="72" t="s">
        <v>391</v>
      </c>
      <c r="B7" s="73">
        <v>1409</v>
      </c>
      <c r="C7" s="73">
        <v>1</v>
      </c>
      <c r="D7" s="74"/>
      <c r="E7" s="74"/>
      <c r="F7" s="74"/>
      <c r="G7" s="74"/>
      <c r="H7" s="74"/>
      <c r="I7" s="74"/>
      <c r="J7" s="74"/>
      <c r="M7">
        <v>0</v>
      </c>
    </row>
    <row r="8" spans="1:13" x14ac:dyDescent="0.2">
      <c r="A8" s="72" t="s">
        <v>392</v>
      </c>
      <c r="B8" s="73">
        <v>2358</v>
      </c>
      <c r="C8" s="73">
        <v>2</v>
      </c>
      <c r="D8" s="74"/>
      <c r="E8" s="74">
        <v>1</v>
      </c>
      <c r="F8" s="74"/>
      <c r="G8" s="74"/>
      <c r="H8" s="74"/>
      <c r="I8" s="74"/>
      <c r="J8" s="74"/>
      <c r="L8">
        <f>(E8+F8)/M8</f>
        <v>1</v>
      </c>
      <c r="M8">
        <v>1</v>
      </c>
    </row>
    <row r="9" spans="1:13" x14ac:dyDescent="0.2">
      <c r="A9" s="72" t="s">
        <v>393</v>
      </c>
      <c r="B9" s="73">
        <v>405</v>
      </c>
      <c r="C9" s="73">
        <v>1</v>
      </c>
      <c r="D9" s="74">
        <v>1</v>
      </c>
      <c r="E9" s="74"/>
      <c r="F9" s="74"/>
      <c r="G9" s="74"/>
      <c r="H9" s="74"/>
      <c r="I9" s="74"/>
      <c r="J9" s="74"/>
      <c r="L9">
        <f>(E9+F9)/M9</f>
        <v>0</v>
      </c>
      <c r="M9">
        <v>1</v>
      </c>
    </row>
    <row r="10" spans="1:13" x14ac:dyDescent="0.2">
      <c r="A10" s="72" t="s">
        <v>394</v>
      </c>
      <c r="B10" s="73">
        <v>1189</v>
      </c>
      <c r="C10" s="73">
        <v>0</v>
      </c>
      <c r="D10" s="74"/>
      <c r="E10" s="74"/>
      <c r="F10" s="74"/>
      <c r="G10" s="74"/>
      <c r="H10" s="74"/>
      <c r="I10" s="74"/>
      <c r="J10" s="74"/>
    </row>
    <row r="11" spans="1:13" x14ac:dyDescent="0.2">
      <c r="A11" s="72" t="s">
        <v>395</v>
      </c>
      <c r="B11" s="73">
        <v>302</v>
      </c>
      <c r="C11" s="73">
        <v>1</v>
      </c>
      <c r="D11" s="74"/>
      <c r="E11" s="74"/>
      <c r="F11" s="74"/>
      <c r="G11" s="74"/>
      <c r="H11" s="74"/>
      <c r="I11" s="74"/>
      <c r="J11" s="74"/>
      <c r="M11">
        <v>1</v>
      </c>
    </row>
    <row r="12" spans="1:13" x14ac:dyDescent="0.2">
      <c r="A12" s="72" t="s">
        <v>396</v>
      </c>
      <c r="B12" s="73">
        <v>1207</v>
      </c>
      <c r="C12" s="73">
        <v>1</v>
      </c>
      <c r="D12" s="74"/>
      <c r="E12" s="74"/>
      <c r="F12" s="74"/>
      <c r="G12" s="74"/>
      <c r="H12" s="74"/>
      <c r="I12" s="74"/>
      <c r="J12" s="74"/>
      <c r="M12">
        <v>1</v>
      </c>
    </row>
    <row r="13" spans="1:13" x14ac:dyDescent="0.2">
      <c r="A13" s="72" t="s">
        <v>397</v>
      </c>
      <c r="B13" s="73">
        <v>777</v>
      </c>
      <c r="C13" s="73">
        <v>1</v>
      </c>
      <c r="D13" s="74"/>
      <c r="E13" s="74"/>
      <c r="F13" s="74"/>
      <c r="G13" s="74"/>
      <c r="H13" s="74"/>
      <c r="I13" s="74"/>
      <c r="J13" s="74"/>
      <c r="M13">
        <v>1</v>
      </c>
    </row>
    <row r="14" spans="1:13" x14ac:dyDescent="0.2">
      <c r="A14" s="72" t="s">
        <v>398</v>
      </c>
      <c r="B14" s="73">
        <v>9050</v>
      </c>
      <c r="C14" s="73">
        <v>7</v>
      </c>
      <c r="D14" s="74">
        <v>1</v>
      </c>
      <c r="E14" s="74">
        <v>2</v>
      </c>
      <c r="F14" s="74"/>
      <c r="G14" s="74"/>
      <c r="H14" s="74"/>
      <c r="I14" s="74"/>
      <c r="J14" s="74">
        <v>1</v>
      </c>
      <c r="L14">
        <f>(E14+F14)/M14</f>
        <v>0.5</v>
      </c>
      <c r="M14">
        <v>4</v>
      </c>
    </row>
    <row r="15" spans="1:13" x14ac:dyDescent="0.2">
      <c r="A15" s="72" t="s">
        <v>399</v>
      </c>
      <c r="B15" s="73">
        <v>593</v>
      </c>
      <c r="C15" s="73">
        <v>4</v>
      </c>
      <c r="D15" s="74">
        <v>2</v>
      </c>
      <c r="E15" s="74"/>
      <c r="F15" s="74"/>
      <c r="G15" s="74"/>
      <c r="H15" s="74"/>
      <c r="I15" s="74"/>
      <c r="J15" s="74"/>
      <c r="M15">
        <v>4</v>
      </c>
    </row>
    <row r="16" spans="1:13" x14ac:dyDescent="0.2">
      <c r="A16" s="72" t="s">
        <v>400</v>
      </c>
      <c r="B16" s="73">
        <v>7239</v>
      </c>
      <c r="C16" s="73">
        <v>4</v>
      </c>
      <c r="D16" s="74"/>
      <c r="E16" s="74"/>
      <c r="F16" s="74"/>
      <c r="G16" s="74"/>
      <c r="H16" s="74"/>
      <c r="I16" s="74"/>
      <c r="J16" s="74"/>
      <c r="M16">
        <v>1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samples</vt:lpstr>
      <vt:lpstr>all samples - sorted</vt:lpstr>
      <vt:lpstr>pro novo samples</vt:lpstr>
      <vt:lpstr>cyanos</vt:lpstr>
      <vt:lpstr>TPP</vt:lpstr>
      <vt:lpstr>SPIDER mods</vt:lpstr>
      <vt:lpstr>modification table</vt:lpstr>
      <vt:lpstr>tryp vs noenz</vt:lpstr>
      <vt:lpstr>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2018-10-16T21:11:06Z</dcterms:created>
  <dcterms:modified xsi:type="dcterms:W3CDTF">2019-12-20T00:42:25Z</dcterms:modified>
</cp:coreProperties>
</file>