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water-my.sharepoint.com/personal/kbellingham_stevenswater_com/Documents/DocumentsIMPORT/ScienceTopics/DiElectric/Trace TDR/Salinity/"/>
    </mc:Choice>
  </mc:AlternateContent>
  <xr:revisionPtr revIDLastSave="2622" documentId="8_{321DC32F-B83B-6443-ADD4-1B34F6773F6C}" xr6:coauthVersionLast="47" xr6:coauthVersionMax="47" xr10:uidLastSave="{74700D7A-FF10-9840-A8BD-9DB08399751A}"/>
  <bookViews>
    <workbookView minimized="1" xWindow="39340" yWindow="-1040" windowWidth="26680" windowHeight="19020" activeTab="11" xr2:uid="{7CB5DF9E-3E08-CC4D-B9ED-020FFA864450}"/>
  </bookViews>
  <sheets>
    <sheet name="052623" sheetId="19" r:id="rId1"/>
    <sheet name="052423" sheetId="18" r:id="rId2"/>
    <sheet name="041123" sheetId="7" r:id="rId3"/>
    <sheet name="First_Test" sheetId="1" r:id="rId4"/>
    <sheet name="Solutions" sheetId="2" r:id="rId5"/>
    <sheet name="040723" sheetId="5" r:id="rId6"/>
    <sheet name="040823" sheetId="6" r:id="rId7"/>
    <sheet name="Training1" sheetId="4" r:id="rId8"/>
    <sheet name="Dalton_Topp" sheetId="8" r:id="rId9"/>
    <sheet name="SiltloamRET" sheetId="3" r:id="rId10"/>
    <sheet name="trianing data_solutions" sheetId="16" r:id="rId11"/>
    <sheet name="Topp_Dalton2" sheetId="20" r:id="rId12"/>
    <sheet name="coated" sheetId="17" r:id="rId13"/>
    <sheet name="BCT_20)" sheetId="25" r:id="rId14"/>
    <sheet name="FCT_40" sheetId="27" r:id="rId15"/>
    <sheet name="FLD_40" sheetId="28" r:id="rId16"/>
    <sheet name="BCT_8B" sheetId="30" r:id="rId17"/>
    <sheet name="BCT_8" sheetId="26" r:id="rId18"/>
    <sheet name="BUR_20" sheetId="29" r:id="rId19"/>
    <sheet name="BUR_8" sheetId="21" r:id="rId20"/>
  </sheets>
  <definedNames>
    <definedName name="_xlnm._FilterDatabase" localSheetId="12" hidden="1">coated!$C$1:$F$56</definedName>
    <definedName name="_xlnm._FilterDatabase" localSheetId="11" hidden="1">Topp_Dalton2!$A$1:$AJ$135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6" i="21" l="1"/>
  <c r="AD26" i="21"/>
  <c r="AE23" i="21"/>
  <c r="AD23" i="21"/>
  <c r="H5" i="16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4" i="16"/>
  <c r="BA19" i="30"/>
  <c r="AZ19" i="30"/>
  <c r="AX19" i="30"/>
  <c r="AW19" i="30"/>
  <c r="AB18" i="30"/>
  <c r="AA18" i="30"/>
  <c r="AB17" i="30"/>
  <c r="AX17" i="30" s="1"/>
  <c r="AA17" i="30"/>
  <c r="AW17" i="30" s="1"/>
  <c r="AB16" i="30"/>
  <c r="AA16" i="30"/>
  <c r="AB15" i="30"/>
  <c r="AX15" i="30" s="1"/>
  <c r="AA15" i="30"/>
  <c r="AW15" i="30" s="1"/>
  <c r="AB14" i="30"/>
  <c r="AA14" i="30"/>
  <c r="AB13" i="30"/>
  <c r="AX13" i="30" s="1"/>
  <c r="AA13" i="30"/>
  <c r="AW13" i="30" s="1"/>
  <c r="AB12" i="30"/>
  <c r="AA12" i="30"/>
  <c r="AB11" i="30"/>
  <c r="AX11" i="30" s="1"/>
  <c r="AA11" i="30"/>
  <c r="AW11" i="30" s="1"/>
  <c r="AB10" i="30"/>
  <c r="AA10" i="30"/>
  <c r="AB9" i="30"/>
  <c r="AX9" i="30" s="1"/>
  <c r="AA9" i="30"/>
  <c r="AW9" i="30" s="1"/>
  <c r="AB8" i="30"/>
  <c r="AA8" i="30"/>
  <c r="AB7" i="30"/>
  <c r="AX7" i="30" s="1"/>
  <c r="AA7" i="30"/>
  <c r="AW7" i="30" s="1"/>
  <c r="AB6" i="30"/>
  <c r="AA6" i="30"/>
  <c r="AB5" i="30"/>
  <c r="AX5" i="30" s="1"/>
  <c r="AA5" i="30"/>
  <c r="AW5" i="30" s="1"/>
  <c r="AD4" i="30"/>
  <c r="AZ4" i="30" s="1"/>
  <c r="AB4" i="30"/>
  <c r="AX4" i="30" s="1"/>
  <c r="AA4" i="30"/>
  <c r="AB3" i="30"/>
  <c r="AD3" i="30" s="1"/>
  <c r="AE3" i="30" s="1"/>
  <c r="BA3" i="30" s="1"/>
  <c r="AA3" i="30"/>
  <c r="AW3" i="30" s="1"/>
  <c r="AB2" i="30"/>
  <c r="AO2" i="30" s="1"/>
  <c r="AA2" i="30"/>
  <c r="AN2" i="30" s="1"/>
  <c r="AD26" i="29"/>
  <c r="AD23" i="29"/>
  <c r="BA19" i="29"/>
  <c r="AX19" i="29"/>
  <c r="AW19" i="29"/>
  <c r="AB18" i="29"/>
  <c r="AA18" i="29"/>
  <c r="AB17" i="29"/>
  <c r="AX17" i="29" s="1"/>
  <c r="AA17" i="29"/>
  <c r="AW17" i="29" s="1"/>
  <c r="AB16" i="29"/>
  <c r="AA16" i="29"/>
  <c r="AB15" i="29"/>
  <c r="AX15" i="29" s="1"/>
  <c r="AA15" i="29"/>
  <c r="AW15" i="29" s="1"/>
  <c r="AB14" i="29"/>
  <c r="AA14" i="29"/>
  <c r="AB13" i="29"/>
  <c r="AX13" i="29" s="1"/>
  <c r="AA13" i="29"/>
  <c r="AW13" i="29" s="1"/>
  <c r="AB12" i="29"/>
  <c r="AA12" i="29"/>
  <c r="AB11" i="29"/>
  <c r="AX11" i="29" s="1"/>
  <c r="AA11" i="29"/>
  <c r="AW11" i="29" s="1"/>
  <c r="AB10" i="29"/>
  <c r="AA10" i="29"/>
  <c r="AB9" i="29"/>
  <c r="AX9" i="29" s="1"/>
  <c r="AA9" i="29"/>
  <c r="AW9" i="29" s="1"/>
  <c r="AB8" i="29"/>
  <c r="AA8" i="29"/>
  <c r="AB7" i="29"/>
  <c r="AX7" i="29" s="1"/>
  <c r="AA7" i="29"/>
  <c r="AW7" i="29" s="1"/>
  <c r="AB6" i="29"/>
  <c r="AA6" i="29"/>
  <c r="AB5" i="29"/>
  <c r="AX5" i="29" s="1"/>
  <c r="AA5" i="29"/>
  <c r="AW5" i="29" s="1"/>
  <c r="AX4" i="29"/>
  <c r="AD4" i="29"/>
  <c r="AZ4" i="29" s="1"/>
  <c r="AB4" i="29"/>
  <c r="AA4" i="29"/>
  <c r="AB3" i="29"/>
  <c r="AD3" i="29" s="1"/>
  <c r="AE3" i="29" s="1"/>
  <c r="BA3" i="29" s="1"/>
  <c r="AA3" i="29"/>
  <c r="AW3" i="29" s="1"/>
  <c r="AW2" i="29"/>
  <c r="AM2" i="29"/>
  <c r="AC2" i="29"/>
  <c r="AB2" i="29"/>
  <c r="AO2" i="29" s="1"/>
  <c r="AA2" i="29"/>
  <c r="AB18" i="28"/>
  <c r="AX18" i="28" s="1"/>
  <c r="AA18" i="28"/>
  <c r="AW18" i="28" s="1"/>
  <c r="AB17" i="28"/>
  <c r="AA17" i="28"/>
  <c r="AB16" i="28"/>
  <c r="AX16" i="28" s="1"/>
  <c r="AA16" i="28"/>
  <c r="AW16" i="28" s="1"/>
  <c r="AB15" i="28"/>
  <c r="AA15" i="28"/>
  <c r="AB14" i="28"/>
  <c r="AX14" i="28" s="1"/>
  <c r="AA14" i="28"/>
  <c r="AW14" i="28" s="1"/>
  <c r="AB13" i="28"/>
  <c r="AA13" i="28"/>
  <c r="AW13" i="28" s="1"/>
  <c r="AB12" i="28"/>
  <c r="AX12" i="28" s="1"/>
  <c r="AA12" i="28"/>
  <c r="AW12" i="28" s="1"/>
  <c r="AB11" i="28"/>
  <c r="AA11" i="28"/>
  <c r="AB10" i="28"/>
  <c r="AX10" i="28" s="1"/>
  <c r="AA10" i="28"/>
  <c r="AW10" i="28" s="1"/>
  <c r="AB9" i="28"/>
  <c r="AA9" i="28"/>
  <c r="AD8" i="28"/>
  <c r="AZ8" i="28" s="1"/>
  <c r="AB8" i="28"/>
  <c r="AX8" i="28" s="1"/>
  <c r="AA8" i="28"/>
  <c r="AW8" i="28" s="1"/>
  <c r="AB7" i="28"/>
  <c r="AA7" i="28"/>
  <c r="AW7" i="28" s="1"/>
  <c r="AB6" i="28"/>
  <c r="AX6" i="28" s="1"/>
  <c r="AA6" i="28"/>
  <c r="AW6" i="28" s="1"/>
  <c r="AB5" i="28"/>
  <c r="AA5" i="28"/>
  <c r="AW5" i="28" s="1"/>
  <c r="AB4" i="28"/>
  <c r="AX4" i="28" s="1"/>
  <c r="AA4" i="28"/>
  <c r="AW4" i="28" s="1"/>
  <c r="AB3" i="28"/>
  <c r="AD3" i="28" s="1"/>
  <c r="AA3" i="28"/>
  <c r="AB2" i="28"/>
  <c r="AD2" i="28" s="1"/>
  <c r="AA2" i="28"/>
  <c r="AW2" i="28" s="1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53" i="19" s="1"/>
  <c r="H35" i="19"/>
  <c r="H34" i="19"/>
  <c r="H33" i="19"/>
  <c r="H32" i="19"/>
  <c r="AD26" i="27"/>
  <c r="AZ2" i="27"/>
  <c r="AD23" i="27"/>
  <c r="AB19" i="27"/>
  <c r="AX19" i="27" s="1"/>
  <c r="AA19" i="27"/>
  <c r="AD18" i="27"/>
  <c r="AE18" i="27" s="1"/>
  <c r="BA18" i="27" s="1"/>
  <c r="AB18" i="27"/>
  <c r="AX18" i="27" s="1"/>
  <c r="AA18" i="27"/>
  <c r="AW18" i="27" s="1"/>
  <c r="AD17" i="27"/>
  <c r="AE17" i="27" s="1"/>
  <c r="BA17" i="27" s="1"/>
  <c r="AB17" i="27"/>
  <c r="AX17" i="27" s="1"/>
  <c r="AA17" i="27"/>
  <c r="AB16" i="27"/>
  <c r="AX16" i="27" s="1"/>
  <c r="AA16" i="27"/>
  <c r="AW16" i="27" s="1"/>
  <c r="AB15" i="27"/>
  <c r="AX15" i="27" s="1"/>
  <c r="AA15" i="27"/>
  <c r="AD14" i="27"/>
  <c r="AE14" i="27" s="1"/>
  <c r="BA14" i="27" s="1"/>
  <c r="AB14" i="27"/>
  <c r="AX14" i="27" s="1"/>
  <c r="AA14" i="27"/>
  <c r="AW14" i="27" s="1"/>
  <c r="AD13" i="27"/>
  <c r="AE13" i="27" s="1"/>
  <c r="BA13" i="27" s="1"/>
  <c r="AB13" i="27"/>
  <c r="AX13" i="27" s="1"/>
  <c r="AA13" i="27"/>
  <c r="AD12" i="27"/>
  <c r="AE12" i="27" s="1"/>
  <c r="BA12" i="27" s="1"/>
  <c r="AB12" i="27"/>
  <c r="AX12" i="27" s="1"/>
  <c r="AA12" i="27"/>
  <c r="AW12" i="27" s="1"/>
  <c r="AB11" i="27"/>
  <c r="AX11" i="27" s="1"/>
  <c r="AA11" i="27"/>
  <c r="AB10" i="27"/>
  <c r="AX10" i="27" s="1"/>
  <c r="AA10" i="27"/>
  <c r="AW10" i="27" s="1"/>
  <c r="AD9" i="27"/>
  <c r="AE9" i="27" s="1"/>
  <c r="BA9" i="27" s="1"/>
  <c r="AB9" i="27"/>
  <c r="AX9" i="27" s="1"/>
  <c r="AA9" i="27"/>
  <c r="AD8" i="27"/>
  <c r="AE8" i="27" s="1"/>
  <c r="BA8" i="27" s="1"/>
  <c r="AB8" i="27"/>
  <c r="AX8" i="27" s="1"/>
  <c r="AA8" i="27"/>
  <c r="AW8" i="27" s="1"/>
  <c r="AB7" i="27"/>
  <c r="AX7" i="27" s="1"/>
  <c r="AA7" i="27"/>
  <c r="AB6" i="27"/>
  <c r="AX6" i="27" s="1"/>
  <c r="AA6" i="27"/>
  <c r="AW6" i="27" s="1"/>
  <c r="AD5" i="27"/>
  <c r="AE5" i="27" s="1"/>
  <c r="BA5" i="27" s="1"/>
  <c r="AB5" i="27"/>
  <c r="AX5" i="27" s="1"/>
  <c r="AA5" i="27"/>
  <c r="AW4" i="27"/>
  <c r="AB4" i="27"/>
  <c r="AD4" i="27" s="1"/>
  <c r="AA4" i="27"/>
  <c r="AB3" i="27"/>
  <c r="AD3" i="27" s="1"/>
  <c r="AA3" i="27"/>
  <c r="AW3" i="27" s="1"/>
  <c r="AX2" i="27"/>
  <c r="AB2" i="27"/>
  <c r="AA2" i="27"/>
  <c r="BA19" i="21"/>
  <c r="BA18" i="21"/>
  <c r="BA17" i="21"/>
  <c r="BA16" i="21"/>
  <c r="BA15" i="21"/>
  <c r="BA14" i="21"/>
  <c r="BA13" i="21"/>
  <c r="BA12" i="21"/>
  <c r="BA11" i="21"/>
  <c r="BA10" i="21"/>
  <c r="BA9" i="21"/>
  <c r="BA8" i="21"/>
  <c r="BA7" i="21"/>
  <c r="BA6" i="21"/>
  <c r="BA5" i="21"/>
  <c r="BA4" i="21"/>
  <c r="BA3" i="21"/>
  <c r="BA2" i="21"/>
  <c r="AE19" i="21"/>
  <c r="AE18" i="21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AE2" i="21"/>
  <c r="AB5" i="21"/>
  <c r="AD5" i="21"/>
  <c r="AZ5" i="21"/>
  <c r="AL4" i="21"/>
  <c r="AI4" i="21"/>
  <c r="AB19" i="26"/>
  <c r="AX19" i="26" s="1"/>
  <c r="AA19" i="26"/>
  <c r="AW19" i="26" s="1"/>
  <c r="AD18" i="26"/>
  <c r="AZ18" i="26" s="1"/>
  <c r="AB18" i="26"/>
  <c r="AX18" i="26" s="1"/>
  <c r="AA18" i="26"/>
  <c r="AW18" i="26" s="1"/>
  <c r="AB17" i="26"/>
  <c r="AX17" i="26" s="1"/>
  <c r="AA17" i="26"/>
  <c r="AW17" i="26" s="1"/>
  <c r="AB16" i="26"/>
  <c r="AX16" i="26" s="1"/>
  <c r="AA16" i="26"/>
  <c r="AW16" i="26" s="1"/>
  <c r="AB15" i="26"/>
  <c r="AX15" i="26" s="1"/>
  <c r="AA15" i="26"/>
  <c r="AW15" i="26" s="1"/>
  <c r="AD14" i="26"/>
  <c r="AZ14" i="26" s="1"/>
  <c r="AB14" i="26"/>
  <c r="AX14" i="26" s="1"/>
  <c r="AA14" i="26"/>
  <c r="AW14" i="26" s="1"/>
  <c r="AB13" i="26"/>
  <c r="AX13" i="26" s="1"/>
  <c r="AA13" i="26"/>
  <c r="AW13" i="26" s="1"/>
  <c r="AB12" i="26"/>
  <c r="AX12" i="26" s="1"/>
  <c r="AA12" i="26"/>
  <c r="AW12" i="26" s="1"/>
  <c r="AB11" i="26"/>
  <c r="AX11" i="26" s="1"/>
  <c r="AA11" i="26"/>
  <c r="AW11" i="26" s="1"/>
  <c r="AD10" i="26"/>
  <c r="AZ10" i="26" s="1"/>
  <c r="AB10" i="26"/>
  <c r="AX10" i="26" s="1"/>
  <c r="AA10" i="26"/>
  <c r="AW10" i="26" s="1"/>
  <c r="AB9" i="26"/>
  <c r="AX9" i="26" s="1"/>
  <c r="AA9" i="26"/>
  <c r="AW9" i="26" s="1"/>
  <c r="AB8" i="26"/>
  <c r="AX8" i="26" s="1"/>
  <c r="AA8" i="26"/>
  <c r="AW8" i="26" s="1"/>
  <c r="AB7" i="26"/>
  <c r="AX7" i="26" s="1"/>
  <c r="AA7" i="26"/>
  <c r="AW7" i="26" s="1"/>
  <c r="AD6" i="26"/>
  <c r="AZ6" i="26" s="1"/>
  <c r="AB6" i="26"/>
  <c r="AX6" i="26" s="1"/>
  <c r="AA6" i="26"/>
  <c r="AW6" i="26" s="1"/>
  <c r="AB5" i="26"/>
  <c r="AX5" i="26" s="1"/>
  <c r="AA5" i="26"/>
  <c r="AW5" i="26" s="1"/>
  <c r="AB4" i="26"/>
  <c r="AX4" i="26" s="1"/>
  <c r="AA4" i="26"/>
  <c r="AW4" i="26" s="1"/>
  <c r="AB3" i="26"/>
  <c r="AX3" i="26" s="1"/>
  <c r="AA3" i="26"/>
  <c r="AW3" i="26" s="1"/>
  <c r="AO2" i="26"/>
  <c r="AB2" i="26"/>
  <c r="AA2" i="26"/>
  <c r="AN2" i="26" s="1"/>
  <c r="AB19" i="25"/>
  <c r="AX19" i="25" s="1"/>
  <c r="AA19" i="25"/>
  <c r="AW19" i="25" s="1"/>
  <c r="AB18" i="25"/>
  <c r="AX18" i="25" s="1"/>
  <c r="AA18" i="25"/>
  <c r="AW18" i="25" s="1"/>
  <c r="AW17" i="25"/>
  <c r="AB17" i="25"/>
  <c r="AX17" i="25" s="1"/>
  <c r="AA17" i="25"/>
  <c r="AW16" i="25"/>
  <c r="AB16" i="25"/>
  <c r="AD16" i="25" s="1"/>
  <c r="AZ16" i="25" s="1"/>
  <c r="AA16" i="25"/>
  <c r="AB15" i="25"/>
  <c r="AX15" i="25" s="1"/>
  <c r="AA15" i="25"/>
  <c r="AW15" i="25" s="1"/>
  <c r="AB14" i="25"/>
  <c r="AX14" i="25" s="1"/>
  <c r="AA14" i="25"/>
  <c r="AW14" i="25" s="1"/>
  <c r="AW13" i="25"/>
  <c r="AB13" i="25"/>
  <c r="AX13" i="25" s="1"/>
  <c r="AA13" i="25"/>
  <c r="AW12" i="25"/>
  <c r="AB12" i="25"/>
  <c r="AD12" i="25" s="1"/>
  <c r="AZ12" i="25" s="1"/>
  <c r="AA12" i="25"/>
  <c r="AB11" i="25"/>
  <c r="AX11" i="25" s="1"/>
  <c r="AA11" i="25"/>
  <c r="AW11" i="25" s="1"/>
  <c r="AB10" i="25"/>
  <c r="AX10" i="25" s="1"/>
  <c r="AA10" i="25"/>
  <c r="AW10" i="25" s="1"/>
  <c r="AW9" i="25"/>
  <c r="AB9" i="25"/>
  <c r="AX9" i="25" s="1"/>
  <c r="AA9" i="25"/>
  <c r="AW8" i="25"/>
  <c r="AB8" i="25"/>
  <c r="AD8" i="25" s="1"/>
  <c r="AZ8" i="25" s="1"/>
  <c r="AA8" i="25"/>
  <c r="AB7" i="25"/>
  <c r="AD7" i="25" s="1"/>
  <c r="AZ7" i="25" s="1"/>
  <c r="AA7" i="25"/>
  <c r="AW7" i="25" s="1"/>
  <c r="AB6" i="25"/>
  <c r="AX6" i="25" s="1"/>
  <c r="AA6" i="25"/>
  <c r="AW6" i="25" s="1"/>
  <c r="AB5" i="25"/>
  <c r="AX5" i="25" s="1"/>
  <c r="AA5" i="25"/>
  <c r="AW5" i="25" s="1"/>
  <c r="AB4" i="25"/>
  <c r="AD4" i="25" s="1"/>
  <c r="AZ4" i="25" s="1"/>
  <c r="AA4" i="25"/>
  <c r="AW4" i="25" s="1"/>
  <c r="AB3" i="25"/>
  <c r="AX3" i="25" s="1"/>
  <c r="AA3" i="25"/>
  <c r="AW3" i="25" s="1"/>
  <c r="AB2" i="25"/>
  <c r="AX2" i="25" s="1"/>
  <c r="AA2" i="25"/>
  <c r="AN2" i="25" s="1"/>
  <c r="AZ19" i="21"/>
  <c r="AZ18" i="21"/>
  <c r="AZ17" i="21"/>
  <c r="AZ16" i="21"/>
  <c r="AZ15" i="21"/>
  <c r="AZ14" i="21"/>
  <c r="AZ13" i="21"/>
  <c r="AZ12" i="21"/>
  <c r="AZ11" i="21"/>
  <c r="AZ10" i="21"/>
  <c r="AZ9" i="21"/>
  <c r="AZ8" i="21"/>
  <c r="AZ7" i="21"/>
  <c r="AZ6" i="21"/>
  <c r="AZ4" i="21"/>
  <c r="AZ3" i="21"/>
  <c r="AZ2" i="21"/>
  <c r="AW4" i="21"/>
  <c r="AD19" i="21"/>
  <c r="AD18" i="21"/>
  <c r="AD17" i="21"/>
  <c r="AD16" i="21"/>
  <c r="AD15" i="21"/>
  <c r="AD14" i="21"/>
  <c r="AD13" i="21"/>
  <c r="AD12" i="21"/>
  <c r="AD11" i="21"/>
  <c r="AD10" i="21"/>
  <c r="AD9" i="21"/>
  <c r="AD8" i="21"/>
  <c r="AD7" i="21"/>
  <c r="AD6" i="21"/>
  <c r="AD4" i="21"/>
  <c r="AD3" i="21"/>
  <c r="AD2" i="21"/>
  <c r="AB19" i="21"/>
  <c r="AX19" i="21" s="1"/>
  <c r="AA19" i="21"/>
  <c r="AW19" i="21" s="1"/>
  <c r="AB18" i="21"/>
  <c r="AX18" i="21" s="1"/>
  <c r="AA18" i="21"/>
  <c r="AW18" i="21" s="1"/>
  <c r="AB17" i="21"/>
  <c r="AX17" i="21" s="1"/>
  <c r="AA17" i="21"/>
  <c r="AW17" i="21" s="1"/>
  <c r="AB16" i="21"/>
  <c r="AX16" i="21" s="1"/>
  <c r="AA16" i="21"/>
  <c r="AW16" i="21" s="1"/>
  <c r="AB15" i="21"/>
  <c r="AX15" i="21" s="1"/>
  <c r="AA15" i="21"/>
  <c r="AW15" i="21" s="1"/>
  <c r="AB14" i="21"/>
  <c r="AX14" i="21" s="1"/>
  <c r="AA14" i="21"/>
  <c r="AW14" i="21" s="1"/>
  <c r="AB13" i="21"/>
  <c r="AX13" i="21" s="1"/>
  <c r="AA13" i="21"/>
  <c r="AW13" i="21" s="1"/>
  <c r="AB12" i="21"/>
  <c r="AX12" i="21" s="1"/>
  <c r="AA12" i="21"/>
  <c r="AW12" i="21" s="1"/>
  <c r="AB11" i="21"/>
  <c r="AX11" i="21" s="1"/>
  <c r="AA11" i="21"/>
  <c r="AW11" i="21" s="1"/>
  <c r="AB10" i="21"/>
  <c r="AX10" i="21" s="1"/>
  <c r="AA10" i="21"/>
  <c r="AW10" i="21" s="1"/>
  <c r="AB9" i="21"/>
  <c r="AX9" i="21" s="1"/>
  <c r="AA9" i="21"/>
  <c r="AW9" i="21" s="1"/>
  <c r="AB8" i="21"/>
  <c r="AX8" i="21" s="1"/>
  <c r="AA8" i="21"/>
  <c r="AW8" i="21" s="1"/>
  <c r="AB7" i="21"/>
  <c r="AX7" i="21" s="1"/>
  <c r="AA7" i="21"/>
  <c r="AW7" i="21" s="1"/>
  <c r="AB6" i="21"/>
  <c r="AX6" i="21" s="1"/>
  <c r="AA6" i="21"/>
  <c r="AW6" i="21" s="1"/>
  <c r="AX5" i="21"/>
  <c r="AA5" i="21"/>
  <c r="AW5" i="21" s="1"/>
  <c r="AB4" i="21"/>
  <c r="AX4" i="21" s="1"/>
  <c r="AA4" i="21"/>
  <c r="AB3" i="21"/>
  <c r="AX3" i="21" s="1"/>
  <c r="AA3" i="21"/>
  <c r="AW3" i="21" s="1"/>
  <c r="AB2" i="21"/>
  <c r="AX2" i="21" s="1"/>
  <c r="AJ4" i="21" s="1"/>
  <c r="AA2" i="21"/>
  <c r="AW2" i="21" s="1"/>
  <c r="Z10" i="8"/>
  <c r="AM2" i="30" l="1"/>
  <c r="AE4" i="30"/>
  <c r="BA4" i="30" s="1"/>
  <c r="AD5" i="30"/>
  <c r="AD9" i="30"/>
  <c r="AD13" i="30"/>
  <c r="AD17" i="30"/>
  <c r="AC2" i="30"/>
  <c r="AW2" i="30"/>
  <c r="AD2" i="30"/>
  <c r="AZ2" i="30" s="1"/>
  <c r="AD7" i="30"/>
  <c r="AD11" i="30"/>
  <c r="AD15" i="30"/>
  <c r="AL2" i="30"/>
  <c r="Y3" i="30"/>
  <c r="Y8" i="30"/>
  <c r="Y12" i="30"/>
  <c r="Y16" i="30"/>
  <c r="Y4" i="30"/>
  <c r="Y6" i="30"/>
  <c r="Y10" i="30"/>
  <c r="Y14" i="30"/>
  <c r="Y18" i="30"/>
  <c r="AP2" i="30"/>
  <c r="Z2" i="30" s="1"/>
  <c r="AX3" i="30"/>
  <c r="AW4" i="30"/>
  <c r="Y5" i="30"/>
  <c r="AW6" i="30"/>
  <c r="Y7" i="30"/>
  <c r="AW8" i="30"/>
  <c r="Y9" i="30"/>
  <c r="AW10" i="30"/>
  <c r="Y11" i="30"/>
  <c r="AW12" i="30"/>
  <c r="Y13" i="30"/>
  <c r="AW14" i="30"/>
  <c r="Y15" i="30"/>
  <c r="AW16" i="30"/>
  <c r="Y17" i="30"/>
  <c r="AW18" i="30"/>
  <c r="Y2" i="30"/>
  <c r="AX6" i="30"/>
  <c r="AX8" i="30"/>
  <c r="AX10" i="30"/>
  <c r="AX12" i="30"/>
  <c r="AX14" i="30"/>
  <c r="AX16" i="30"/>
  <c r="AX18" i="30"/>
  <c r="AZ3" i="30"/>
  <c r="AE2" i="30"/>
  <c r="AX2" i="30"/>
  <c r="AD6" i="30"/>
  <c r="AD8" i="30"/>
  <c r="AD10" i="30"/>
  <c r="AD12" i="30"/>
  <c r="AD14" i="30"/>
  <c r="AD16" i="30"/>
  <c r="AD18" i="30"/>
  <c r="AK2" i="30"/>
  <c r="AP2" i="29"/>
  <c r="Z17" i="29" s="1"/>
  <c r="AE4" i="29"/>
  <c r="BA4" i="29" s="1"/>
  <c r="AD5" i="29"/>
  <c r="AD9" i="29"/>
  <c r="AD13" i="29"/>
  <c r="AD17" i="29"/>
  <c r="AD2" i="29"/>
  <c r="AZ2" i="29" s="1"/>
  <c r="AN2" i="29"/>
  <c r="Y2" i="29" s="1"/>
  <c r="AL2" i="29"/>
  <c r="AD7" i="29"/>
  <c r="AD11" i="29"/>
  <c r="AD15" i="29"/>
  <c r="Z2" i="29"/>
  <c r="Z11" i="29"/>
  <c r="Z4" i="29"/>
  <c r="Z18" i="29"/>
  <c r="Z6" i="29"/>
  <c r="AX3" i="29"/>
  <c r="AW4" i="29"/>
  <c r="AW6" i="29"/>
  <c r="AI4" i="29" s="1"/>
  <c r="AW8" i="29"/>
  <c r="AW10" i="29"/>
  <c r="AW12" i="29"/>
  <c r="AW14" i="29"/>
  <c r="AW16" i="29"/>
  <c r="AW18" i="29"/>
  <c r="AZ19" i="29"/>
  <c r="AZ3" i="29"/>
  <c r="AX6" i="29"/>
  <c r="AX8" i="29"/>
  <c r="AX10" i="29"/>
  <c r="AX12" i="29"/>
  <c r="AX14" i="29"/>
  <c r="AX16" i="29"/>
  <c r="AX18" i="29"/>
  <c r="AE2" i="29"/>
  <c r="AX2" i="29"/>
  <c r="AD6" i="29"/>
  <c r="AD8" i="29"/>
  <c r="AD10" i="29"/>
  <c r="AD12" i="29"/>
  <c r="AD14" i="29"/>
  <c r="AD16" i="29"/>
  <c r="AD18" i="29"/>
  <c r="AK2" i="29"/>
  <c r="AD16" i="28"/>
  <c r="AZ16" i="28" s="1"/>
  <c r="AN2" i="28"/>
  <c r="AX2" i="28"/>
  <c r="AD10" i="28"/>
  <c r="AZ10" i="28" s="1"/>
  <c r="AD18" i="28"/>
  <c r="AZ18" i="28" s="1"/>
  <c r="AD12" i="28"/>
  <c r="AZ12" i="28" s="1"/>
  <c r="AD6" i="28"/>
  <c r="AZ6" i="28" s="1"/>
  <c r="AD14" i="28"/>
  <c r="AZ14" i="28" s="1"/>
  <c r="AZ3" i="28"/>
  <c r="AE3" i="28"/>
  <c r="BA3" i="28" s="1"/>
  <c r="AE2" i="28"/>
  <c r="AZ2" i="28"/>
  <c r="AW11" i="28"/>
  <c r="AO2" i="28"/>
  <c r="Z13" i="28" s="1"/>
  <c r="AW3" i="28"/>
  <c r="AD4" i="28"/>
  <c r="AD23" i="28" s="1"/>
  <c r="AX5" i="28"/>
  <c r="AX7" i="28"/>
  <c r="AE8" i="28"/>
  <c r="BA8" i="28" s="1"/>
  <c r="AX9" i="28"/>
  <c r="AX11" i="28"/>
  <c r="AX13" i="28"/>
  <c r="AX15" i="28"/>
  <c r="AE16" i="28"/>
  <c r="BA16" i="28" s="1"/>
  <c r="AX17" i="28"/>
  <c r="AW9" i="28"/>
  <c r="AW15" i="28"/>
  <c r="AW17" i="28"/>
  <c r="AC2" i="28"/>
  <c r="AP2" i="28"/>
  <c r="AX3" i="28"/>
  <c r="AD5" i="28"/>
  <c r="AD7" i="28"/>
  <c r="AD9" i="28"/>
  <c r="AD11" i="28"/>
  <c r="AD13" i="28"/>
  <c r="AD15" i="28"/>
  <c r="AD17" i="28"/>
  <c r="AK2" i="28"/>
  <c r="AL2" i="28"/>
  <c r="AM2" i="28"/>
  <c r="AN2" i="27"/>
  <c r="AK2" i="27"/>
  <c r="AD7" i="27"/>
  <c r="AE7" i="27" s="1"/>
  <c r="BA7" i="27" s="1"/>
  <c r="AD11" i="27"/>
  <c r="AE11" i="27" s="1"/>
  <c r="BA11" i="27" s="1"/>
  <c r="AZ12" i="27"/>
  <c r="AD16" i="27"/>
  <c r="AE16" i="27" s="1"/>
  <c r="BA16" i="27" s="1"/>
  <c r="AO2" i="27"/>
  <c r="AD6" i="27"/>
  <c r="AE6" i="27" s="1"/>
  <c r="BA6" i="27" s="1"/>
  <c r="AD10" i="27"/>
  <c r="AE10" i="27" s="1"/>
  <c r="BA10" i="27" s="1"/>
  <c r="AD15" i="27"/>
  <c r="AE15" i="27" s="1"/>
  <c r="BA15" i="27" s="1"/>
  <c r="AD19" i="27"/>
  <c r="AE19" i="27" s="1"/>
  <c r="BA19" i="27" s="1"/>
  <c r="AE4" i="27"/>
  <c r="BA4" i="27" s="1"/>
  <c r="AZ4" i="27"/>
  <c r="AZ3" i="27"/>
  <c r="AE3" i="27"/>
  <c r="BA3" i="27" s="1"/>
  <c r="Z16" i="27"/>
  <c r="AW5" i="27"/>
  <c r="AW7" i="27"/>
  <c r="AZ8" i="27"/>
  <c r="AW9" i="27"/>
  <c r="AZ10" i="27"/>
  <c r="AW11" i="27"/>
  <c r="AW13" i="27"/>
  <c r="AZ14" i="27"/>
  <c r="AW15" i="27"/>
  <c r="AW17" i="27"/>
  <c r="AZ18" i="27"/>
  <c r="AW19" i="27"/>
  <c r="AC2" i="27"/>
  <c r="AL2" i="27"/>
  <c r="AP2" i="27"/>
  <c r="Z14" i="27" s="1"/>
  <c r="AX3" i="27"/>
  <c r="AZ5" i="27"/>
  <c r="AZ9" i="27"/>
  <c r="AZ13" i="27"/>
  <c r="AZ15" i="27"/>
  <c r="AZ17" i="27"/>
  <c r="AD2" i="27"/>
  <c r="AM2" i="27"/>
  <c r="Y11" i="27" s="1"/>
  <c r="AW2" i="27"/>
  <c r="AX4" i="27"/>
  <c r="Z5" i="27"/>
  <c r="Z7" i="27"/>
  <c r="Z13" i="27"/>
  <c r="Z15" i="27"/>
  <c r="Z19" i="27"/>
  <c r="AP2" i="26"/>
  <c r="Z2" i="26" s="1"/>
  <c r="AX2" i="26"/>
  <c r="AJ4" i="26" s="1"/>
  <c r="AD5" i="26"/>
  <c r="AZ5" i="26" s="1"/>
  <c r="AD9" i="26"/>
  <c r="AZ9" i="26" s="1"/>
  <c r="AD13" i="26"/>
  <c r="AZ13" i="26" s="1"/>
  <c r="AD17" i="26"/>
  <c r="AZ17" i="26" s="1"/>
  <c r="AD2" i="26"/>
  <c r="AZ2" i="26" s="1"/>
  <c r="AD8" i="26"/>
  <c r="AZ8" i="26" s="1"/>
  <c r="AD12" i="26"/>
  <c r="AZ12" i="26" s="1"/>
  <c r="AD16" i="26"/>
  <c r="AZ16" i="26" s="1"/>
  <c r="AK2" i="26"/>
  <c r="AD7" i="26"/>
  <c r="AZ7" i="26" s="1"/>
  <c r="AD11" i="26"/>
  <c r="AZ11" i="26" s="1"/>
  <c r="AD15" i="26"/>
  <c r="AZ15" i="26" s="1"/>
  <c r="AD19" i="26"/>
  <c r="AZ19" i="26" s="1"/>
  <c r="AL2" i="26"/>
  <c r="AD3" i="26"/>
  <c r="AZ3" i="26" s="1"/>
  <c r="AD4" i="26"/>
  <c r="AZ4" i="26" s="1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AC2" i="26"/>
  <c r="AM2" i="26"/>
  <c r="Y4" i="26" s="1"/>
  <c r="AW2" i="26"/>
  <c r="AI4" i="26" s="1"/>
  <c r="Z3" i="26"/>
  <c r="Z4" i="26"/>
  <c r="AX7" i="25"/>
  <c r="AO2" i="25"/>
  <c r="AD5" i="25"/>
  <c r="AZ5" i="25" s="1"/>
  <c r="AD9" i="25"/>
  <c r="AZ9" i="25" s="1"/>
  <c r="AD13" i="25"/>
  <c r="AZ13" i="25" s="1"/>
  <c r="AD17" i="25"/>
  <c r="AZ17" i="25" s="1"/>
  <c r="AX12" i="25"/>
  <c r="AX16" i="25"/>
  <c r="AD6" i="25"/>
  <c r="AZ6" i="25" s="1"/>
  <c r="AX8" i="25"/>
  <c r="AD10" i="25"/>
  <c r="AZ10" i="25" s="1"/>
  <c r="AD14" i="25"/>
  <c r="AZ14" i="25" s="1"/>
  <c r="AD18" i="25"/>
  <c r="AZ18" i="25" s="1"/>
  <c r="AD11" i="25"/>
  <c r="AZ11" i="25" s="1"/>
  <c r="AD15" i="25"/>
  <c r="AZ15" i="25" s="1"/>
  <c r="AD19" i="25"/>
  <c r="AZ19" i="25" s="1"/>
  <c r="AK2" i="25"/>
  <c r="AL2" i="25"/>
  <c r="AD3" i="25"/>
  <c r="AZ3" i="25" s="1"/>
  <c r="Y2" i="25"/>
  <c r="AC2" i="25"/>
  <c r="AM2" i="25"/>
  <c r="AW2" i="25"/>
  <c r="AI4" i="25" s="1"/>
  <c r="AX4" i="25"/>
  <c r="AP2" i="25"/>
  <c r="AD2" i="25"/>
  <c r="AZ2" i="25" s="1"/>
  <c r="AC2" i="21"/>
  <c r="AL2" i="21"/>
  <c r="AM2" i="21"/>
  <c r="AN2" i="21"/>
  <c r="AP2" i="21"/>
  <c r="AK2" i="21"/>
  <c r="AO2" i="21"/>
  <c r="AI4" i="30" l="1"/>
  <c r="AZ15" i="30"/>
  <c r="AE15" i="30"/>
  <c r="BA15" i="30" s="1"/>
  <c r="AZ9" i="30"/>
  <c r="AE9" i="30"/>
  <c r="BA9" i="30" s="1"/>
  <c r="Z7" i="30"/>
  <c r="AZ11" i="30"/>
  <c r="AE11" i="30"/>
  <c r="BA11" i="30" s="1"/>
  <c r="AZ5" i="30"/>
  <c r="AE5" i="30"/>
  <c r="BA5" i="30" s="1"/>
  <c r="Z14" i="30"/>
  <c r="Z15" i="30"/>
  <c r="AZ7" i="30"/>
  <c r="AE7" i="30"/>
  <c r="BA7" i="30" s="1"/>
  <c r="AZ17" i="30"/>
  <c r="AE17" i="30"/>
  <c r="BA17" i="30" s="1"/>
  <c r="Z16" i="30"/>
  <c r="AZ13" i="30"/>
  <c r="AE13" i="30"/>
  <c r="BA13" i="30" s="1"/>
  <c r="AE8" i="30"/>
  <c r="BA8" i="30" s="1"/>
  <c r="AZ8" i="30"/>
  <c r="AE14" i="30"/>
  <c r="BA14" i="30" s="1"/>
  <c r="AZ14" i="30"/>
  <c r="AE6" i="30"/>
  <c r="BA6" i="30" s="1"/>
  <c r="AZ6" i="30"/>
  <c r="AD23" i="30"/>
  <c r="Z10" i="30"/>
  <c r="Z12" i="30"/>
  <c r="Z6" i="30"/>
  <c r="Z9" i="30"/>
  <c r="Z17" i="30"/>
  <c r="AE16" i="30"/>
  <c r="BA16" i="30" s="1"/>
  <c r="AZ16" i="30"/>
  <c r="AJ4" i="30"/>
  <c r="Z8" i="30"/>
  <c r="Z3" i="30"/>
  <c r="Z11" i="30"/>
  <c r="Z5" i="30"/>
  <c r="AE12" i="30"/>
  <c r="BA12" i="30" s="1"/>
  <c r="AZ12" i="30"/>
  <c r="AE18" i="30"/>
  <c r="BA18" i="30" s="1"/>
  <c r="AZ18" i="30"/>
  <c r="AE10" i="30"/>
  <c r="BA10" i="30" s="1"/>
  <c r="AZ10" i="30"/>
  <c r="BA2" i="30"/>
  <c r="Z18" i="30"/>
  <c r="Z4" i="30"/>
  <c r="Z13" i="30"/>
  <c r="Z16" i="29"/>
  <c r="Z14" i="29"/>
  <c r="Z5" i="29"/>
  <c r="Z13" i="29"/>
  <c r="Z12" i="29"/>
  <c r="Z10" i="29"/>
  <c r="Z7" i="29"/>
  <c r="Z15" i="29"/>
  <c r="Z8" i="29"/>
  <c r="Z3" i="29"/>
  <c r="Z9" i="29"/>
  <c r="AZ13" i="29"/>
  <c r="AE13" i="29"/>
  <c r="BA13" i="29" s="1"/>
  <c r="Y10" i="29"/>
  <c r="AZ7" i="29"/>
  <c r="AE7" i="29"/>
  <c r="BA7" i="29" s="1"/>
  <c r="AZ17" i="29"/>
  <c r="AE17" i="29"/>
  <c r="BA17" i="29" s="1"/>
  <c r="AZ9" i="29"/>
  <c r="AE9" i="29"/>
  <c r="BA9" i="29" s="1"/>
  <c r="Y18" i="29"/>
  <c r="Y4" i="29"/>
  <c r="AZ15" i="29"/>
  <c r="AE15" i="29"/>
  <c r="BA15" i="29" s="1"/>
  <c r="AZ5" i="29"/>
  <c r="AE5" i="29"/>
  <c r="BA5" i="29" s="1"/>
  <c r="Y17" i="29"/>
  <c r="Y13" i="29"/>
  <c r="Y9" i="29"/>
  <c r="Y5" i="29"/>
  <c r="Y14" i="29"/>
  <c r="AZ11" i="29"/>
  <c r="AE11" i="29"/>
  <c r="BA11" i="29" s="1"/>
  <c r="Y12" i="29"/>
  <c r="Y15" i="29"/>
  <c r="Y11" i="29"/>
  <c r="Y7" i="29"/>
  <c r="Y6" i="29"/>
  <c r="Y16" i="29"/>
  <c r="Y8" i="29"/>
  <c r="Y3" i="29"/>
  <c r="AE18" i="29"/>
  <c r="BA18" i="29" s="1"/>
  <c r="AZ18" i="29"/>
  <c r="AE10" i="29"/>
  <c r="BA10" i="29" s="1"/>
  <c r="AZ10" i="29"/>
  <c r="BA2" i="29"/>
  <c r="AE16" i="29"/>
  <c r="BA16" i="29" s="1"/>
  <c r="AZ16" i="29"/>
  <c r="AE8" i="29"/>
  <c r="BA8" i="29" s="1"/>
  <c r="AZ8" i="29"/>
  <c r="AE14" i="29"/>
  <c r="BA14" i="29" s="1"/>
  <c r="AZ14" i="29"/>
  <c r="AE6" i="29"/>
  <c r="BA6" i="29" s="1"/>
  <c r="AZ6" i="29"/>
  <c r="AE12" i="29"/>
  <c r="BA12" i="29" s="1"/>
  <c r="AZ12" i="29"/>
  <c r="AJ4" i="29"/>
  <c r="AE6" i="28"/>
  <c r="BA6" i="28" s="1"/>
  <c r="Y5" i="28"/>
  <c r="AJ4" i="28"/>
  <c r="Z2" i="28"/>
  <c r="Z4" i="28"/>
  <c r="AE10" i="28"/>
  <c r="BA10" i="28" s="1"/>
  <c r="AE18" i="28"/>
  <c r="BA18" i="28" s="1"/>
  <c r="AE14" i="28"/>
  <c r="BA14" i="28" s="1"/>
  <c r="AI4" i="28"/>
  <c r="Z7" i="28"/>
  <c r="AE12" i="28"/>
  <c r="BA12" i="28" s="1"/>
  <c r="Z17" i="28"/>
  <c r="AE17" i="28"/>
  <c r="BA17" i="28" s="1"/>
  <c r="AZ17" i="28"/>
  <c r="AE11" i="28"/>
  <c r="BA11" i="28" s="1"/>
  <c r="AZ11" i="28"/>
  <c r="AE5" i="28"/>
  <c r="BA5" i="28" s="1"/>
  <c r="AZ5" i="28"/>
  <c r="Z3" i="28"/>
  <c r="Z18" i="28"/>
  <c r="Z16" i="28"/>
  <c r="Z14" i="28"/>
  <c r="Z12" i="28"/>
  <c r="Z10" i="28"/>
  <c r="Z8" i="28"/>
  <c r="Z6" i="28"/>
  <c r="Y11" i="28"/>
  <c r="Y17" i="28"/>
  <c r="Z5" i="28"/>
  <c r="Y13" i="28"/>
  <c r="AE15" i="28"/>
  <c r="BA15" i="28" s="1"/>
  <c r="AZ15" i="28"/>
  <c r="AE9" i="28"/>
  <c r="BA9" i="28" s="1"/>
  <c r="AZ9" i="28"/>
  <c r="Z9" i="28"/>
  <c r="Z15" i="28"/>
  <c r="BA2" i="28"/>
  <c r="Y14" i="28"/>
  <c r="Y12" i="28"/>
  <c r="Y10" i="28"/>
  <c r="Y6" i="28"/>
  <c r="Y18" i="28"/>
  <c r="Y16" i="28"/>
  <c r="Y4" i="28"/>
  <c r="Y8" i="28"/>
  <c r="Y7" i="28"/>
  <c r="AE13" i="28"/>
  <c r="BA13" i="28" s="1"/>
  <c r="AZ13" i="28"/>
  <c r="AE7" i="28"/>
  <c r="BA7" i="28" s="1"/>
  <c r="AZ7" i="28"/>
  <c r="Y2" i="28"/>
  <c r="AZ4" i="28"/>
  <c r="AE4" i="28"/>
  <c r="BA4" i="28" s="1"/>
  <c r="Y3" i="28"/>
  <c r="Y9" i="28"/>
  <c r="Z11" i="28"/>
  <c r="Y15" i="28"/>
  <c r="AZ19" i="27"/>
  <c r="AZ6" i="27"/>
  <c r="AZ7" i="27"/>
  <c r="Z11" i="27"/>
  <c r="AZ11" i="27"/>
  <c r="Z4" i="27"/>
  <c r="AZ16" i="27"/>
  <c r="AJ4" i="27"/>
  <c r="Z8" i="27"/>
  <c r="AE2" i="27"/>
  <c r="Y19" i="27"/>
  <c r="Y13" i="27"/>
  <c r="Z17" i="27"/>
  <c r="Z9" i="27"/>
  <c r="Y3" i="27"/>
  <c r="Z2" i="27"/>
  <c r="Y2" i="27"/>
  <c r="Y4" i="27"/>
  <c r="Z10" i="27"/>
  <c r="Z18" i="27"/>
  <c r="AI4" i="27"/>
  <c r="Z3" i="27"/>
  <c r="Z12" i="27"/>
  <c r="Y9" i="27"/>
  <c r="Y6" i="27"/>
  <c r="Y18" i="27"/>
  <c r="Y16" i="27"/>
  <c r="Y14" i="27"/>
  <c r="Y12" i="27"/>
  <c r="Y10" i="27"/>
  <c r="Y8" i="27"/>
  <c r="Y17" i="27"/>
  <c r="Z6" i="27"/>
  <c r="Y15" i="27"/>
  <c r="Y7" i="27"/>
  <c r="Y5" i="27"/>
  <c r="Z2" i="21"/>
  <c r="Y2" i="26"/>
  <c r="AL4" i="26"/>
  <c r="Y3" i="26"/>
  <c r="Y19" i="26"/>
  <c r="Y18" i="26"/>
  <c r="Y11" i="26"/>
  <c r="Y15" i="26"/>
  <c r="Y10" i="26"/>
  <c r="Y9" i="26"/>
  <c r="Y8" i="26"/>
  <c r="Y17" i="26"/>
  <c r="Y16" i="26"/>
  <c r="Y14" i="26"/>
  <c r="Y13" i="26"/>
  <c r="Y12" i="26"/>
  <c r="Y7" i="26"/>
  <c r="Y6" i="26"/>
  <c r="Y5" i="26"/>
  <c r="AL4" i="25"/>
  <c r="Z13" i="25"/>
  <c r="AJ4" i="25"/>
  <c r="Z16" i="25"/>
  <c r="Z9" i="25"/>
  <c r="Z8" i="25"/>
  <c r="Z17" i="25"/>
  <c r="Z10" i="25"/>
  <c r="Z2" i="25"/>
  <c r="Z15" i="25"/>
  <c r="Z6" i="25"/>
  <c r="Z4" i="25"/>
  <c r="Z18" i="25"/>
  <c r="Z11" i="25"/>
  <c r="Z5" i="25"/>
  <c r="Z3" i="25"/>
  <c r="Z12" i="25"/>
  <c r="Z14" i="25"/>
  <c r="Z7" i="25"/>
  <c r="Z19" i="25"/>
  <c r="Y4" i="25"/>
  <c r="Y3" i="25"/>
  <c r="Y18" i="25"/>
  <c r="Y17" i="25"/>
  <c r="Y15" i="25"/>
  <c r="Y13" i="25"/>
  <c r="Y12" i="25"/>
  <c r="Y11" i="25"/>
  <c r="Y8" i="25"/>
  <c r="Y19" i="25"/>
  <c r="Y16" i="25"/>
  <c r="Y14" i="25"/>
  <c r="Y10" i="25"/>
  <c r="Y9" i="25"/>
  <c r="Y7" i="25"/>
  <c r="Y6" i="25"/>
  <c r="Y5" i="25"/>
  <c r="Y4" i="21"/>
  <c r="Y7" i="21"/>
  <c r="Z3" i="21"/>
  <c r="Z11" i="21"/>
  <c r="Z15" i="21"/>
  <c r="Z19" i="21"/>
  <c r="Z5" i="21"/>
  <c r="Z7" i="21"/>
  <c r="Z9" i="21"/>
  <c r="Z13" i="21"/>
  <c r="Z17" i="21"/>
  <c r="Y17" i="21"/>
  <c r="Z18" i="21"/>
  <c r="Y18" i="21"/>
  <c r="Y8" i="21"/>
  <c r="Y9" i="21"/>
  <c r="Z10" i="21"/>
  <c r="Y10" i="21"/>
  <c r="Y16" i="21"/>
  <c r="Y15" i="21"/>
  <c r="Z16" i="21"/>
  <c r="Z8" i="21"/>
  <c r="Y13" i="21"/>
  <c r="Y5" i="21"/>
  <c r="Z14" i="21"/>
  <c r="Z6" i="21"/>
  <c r="Y14" i="21"/>
  <c r="Y6" i="21"/>
  <c r="Y2" i="21"/>
  <c r="Y19" i="21"/>
  <c r="Y11" i="21"/>
  <c r="Y3" i="21"/>
  <c r="Z12" i="21"/>
  <c r="Z4" i="21"/>
  <c r="Y12" i="21"/>
  <c r="G23" i="1"/>
  <c r="G18" i="1"/>
  <c r="G21" i="1"/>
  <c r="G20" i="1"/>
  <c r="G19" i="1"/>
  <c r="E25" i="1"/>
  <c r="K9" i="2"/>
  <c r="AL4" i="30" l="1"/>
  <c r="AE23" i="30"/>
  <c r="AE26" i="30"/>
  <c r="AD26" i="30"/>
  <c r="AL4" i="29"/>
  <c r="AE26" i="29"/>
  <c r="AE23" i="29"/>
  <c r="AL4" i="28"/>
  <c r="AE23" i="28"/>
  <c r="AD26" i="28"/>
  <c r="AE26" i="28"/>
  <c r="AL4" i="27"/>
  <c r="AE23" i="27"/>
  <c r="BA2" i="27"/>
  <c r="AE26" i="27" s="1"/>
  <c r="X23" i="8"/>
  <c r="W23" i="8"/>
  <c r="X38" i="8"/>
  <c r="W38" i="8"/>
  <c r="X54" i="8"/>
  <c r="W54" i="8"/>
  <c r="W70" i="8"/>
  <c r="W84" i="8"/>
  <c r="X70" i="8"/>
  <c r="X84" i="8"/>
  <c r="X100" i="8"/>
  <c r="W100" i="8"/>
  <c r="AA96" i="8"/>
  <c r="Z96" i="8"/>
  <c r="AA95" i="8"/>
  <c r="Z95" i="8"/>
  <c r="AA94" i="8"/>
  <c r="Z94" i="8"/>
  <c r="AA93" i="8"/>
  <c r="Z93" i="8"/>
  <c r="AA92" i="8"/>
  <c r="Z92" i="8"/>
  <c r="AA91" i="8"/>
  <c r="Z91" i="8"/>
  <c r="AA90" i="8"/>
  <c r="Z90" i="8"/>
  <c r="AA89" i="8"/>
  <c r="Z89" i="8"/>
  <c r="AA88" i="8"/>
  <c r="Z88" i="8"/>
  <c r="AA87" i="8"/>
  <c r="AA100" i="8" s="1"/>
  <c r="Z87" i="8"/>
  <c r="Z100" i="8" s="1"/>
  <c r="AA81" i="8"/>
  <c r="Z81" i="8"/>
  <c r="AA80" i="8"/>
  <c r="Z80" i="8"/>
  <c r="AA79" i="8"/>
  <c r="Z79" i="8"/>
  <c r="AA78" i="8"/>
  <c r="Z78" i="8"/>
  <c r="AA77" i="8"/>
  <c r="Z77" i="8"/>
  <c r="AA76" i="8"/>
  <c r="Z76" i="8"/>
  <c r="AA75" i="8"/>
  <c r="Z75" i="8"/>
  <c r="AA74" i="8"/>
  <c r="Z74" i="8"/>
  <c r="AA73" i="8"/>
  <c r="AA83" i="8" s="1"/>
  <c r="Z73" i="8"/>
  <c r="Z83" i="8" s="1"/>
  <c r="AA67" i="8"/>
  <c r="Z67" i="8"/>
  <c r="AA66" i="8"/>
  <c r="Z66" i="8"/>
  <c r="AA65" i="8"/>
  <c r="Z65" i="8"/>
  <c r="AA64" i="8"/>
  <c r="Z64" i="8"/>
  <c r="AA63" i="8"/>
  <c r="Z63" i="8"/>
  <c r="AA62" i="8"/>
  <c r="Z62" i="8"/>
  <c r="AA61" i="8"/>
  <c r="Z61" i="8"/>
  <c r="AA60" i="8"/>
  <c r="Z60" i="8"/>
  <c r="AA59" i="8"/>
  <c r="Z59" i="8"/>
  <c r="AA51" i="8"/>
  <c r="Z51" i="8"/>
  <c r="AA50" i="8"/>
  <c r="Z50" i="8"/>
  <c r="AA49" i="8"/>
  <c r="Z49" i="8"/>
  <c r="AA48" i="8"/>
  <c r="Z48" i="8"/>
  <c r="AA47" i="8"/>
  <c r="Z47" i="8"/>
  <c r="AA46" i="8"/>
  <c r="Z46" i="8"/>
  <c r="AA45" i="8"/>
  <c r="Z45" i="8"/>
  <c r="AA44" i="8"/>
  <c r="Z44" i="8"/>
  <c r="AA43" i="8"/>
  <c r="Z43" i="8"/>
  <c r="Z12" i="8"/>
  <c r="AA34" i="8"/>
  <c r="Z34" i="8"/>
  <c r="AA33" i="8"/>
  <c r="Z33" i="8"/>
  <c r="AA32" i="8"/>
  <c r="Z32" i="8"/>
  <c r="AA31" i="8"/>
  <c r="Z31" i="8"/>
  <c r="AA30" i="8"/>
  <c r="Z30" i="8"/>
  <c r="AA29" i="8"/>
  <c r="Z29" i="8"/>
  <c r="AA28" i="8"/>
  <c r="Z28" i="8"/>
  <c r="AA27" i="8"/>
  <c r="Z27" i="8"/>
  <c r="AA26" i="8"/>
  <c r="AA37" i="8" s="1"/>
  <c r="Z26" i="8"/>
  <c r="Z37" i="8" s="1"/>
  <c r="AA17" i="8"/>
  <c r="Z17" i="8"/>
  <c r="AA16" i="8"/>
  <c r="Z16" i="8"/>
  <c r="AA15" i="8"/>
  <c r="Z15" i="8"/>
  <c r="AA14" i="8"/>
  <c r="Z14" i="8"/>
  <c r="AA13" i="8"/>
  <c r="Z13" i="8"/>
  <c r="AA12" i="8"/>
  <c r="AA11" i="8"/>
  <c r="Z11" i="8"/>
  <c r="AA10" i="8"/>
  <c r="AA9" i="8"/>
  <c r="Z9" i="8"/>
  <c r="AA4" i="8"/>
  <c r="Z4" i="8"/>
  <c r="AA5" i="4"/>
  <c r="Z5" i="4"/>
  <c r="H20" i="17"/>
  <c r="I20" i="17" s="1"/>
  <c r="J19" i="17"/>
  <c r="I19" i="17"/>
  <c r="H5" i="17"/>
  <c r="I5" i="17" s="1"/>
  <c r="J4" i="17"/>
  <c r="I4" i="17"/>
  <c r="Z69" i="8" l="1"/>
  <c r="AA69" i="8"/>
  <c r="AA53" i="8"/>
  <c r="Z53" i="8"/>
  <c r="AA22" i="8"/>
  <c r="Z22" i="8"/>
  <c r="J5" i="17"/>
  <c r="J20" i="17"/>
  <c r="H6" i="17"/>
  <c r="H21" i="17"/>
  <c r="J21" i="17" l="1"/>
  <c r="I21" i="17"/>
  <c r="H22" i="17"/>
  <c r="J6" i="17"/>
  <c r="I6" i="17"/>
  <c r="H7" i="17"/>
  <c r="I7" i="17" l="1"/>
  <c r="H8" i="17"/>
  <c r="J7" i="17"/>
  <c r="J22" i="17"/>
  <c r="I22" i="17"/>
  <c r="H23" i="17"/>
  <c r="H24" i="17" l="1"/>
  <c r="J23" i="17"/>
  <c r="I23" i="17"/>
  <c r="J8" i="17"/>
  <c r="I8" i="17"/>
  <c r="H9" i="17"/>
  <c r="I9" i="17" l="1"/>
  <c r="H10" i="17"/>
  <c r="J9" i="17"/>
  <c r="I24" i="17"/>
  <c r="H25" i="17"/>
  <c r="J24" i="17"/>
  <c r="I10" i="17" l="1"/>
  <c r="J10" i="17"/>
  <c r="H11" i="17"/>
  <c r="J25" i="17"/>
  <c r="H26" i="17"/>
  <c r="I25" i="17"/>
  <c r="H12" i="17" l="1"/>
  <c r="J11" i="17"/>
  <c r="I11" i="17"/>
  <c r="H27" i="17"/>
  <c r="I26" i="17"/>
  <c r="J26" i="17"/>
  <c r="H28" i="17" l="1"/>
  <c r="J27" i="17"/>
  <c r="I27" i="17"/>
  <c r="J12" i="17"/>
  <c r="H13" i="17"/>
  <c r="I12" i="17"/>
  <c r="H14" i="17" l="1"/>
  <c r="I13" i="17"/>
  <c r="J13" i="17"/>
  <c r="I28" i="17"/>
  <c r="H29" i="17"/>
  <c r="J28" i="17"/>
  <c r="J29" i="17" l="1"/>
  <c r="I29" i="17"/>
  <c r="H30" i="17"/>
  <c r="J14" i="17"/>
  <c r="I14" i="17"/>
  <c r="H15" i="17"/>
  <c r="J15" i="17" l="1"/>
  <c r="I15" i="17"/>
  <c r="H16" i="17"/>
  <c r="H31" i="17"/>
  <c r="I30" i="17"/>
  <c r="J30" i="17"/>
  <c r="J31" i="17" l="1"/>
  <c r="H32" i="17"/>
  <c r="I31" i="17"/>
  <c r="J16" i="17"/>
  <c r="H17" i="17"/>
  <c r="I16" i="17"/>
  <c r="I32" i="17" l="1"/>
  <c r="H33" i="17"/>
  <c r="J32" i="17"/>
  <c r="H18" i="17"/>
  <c r="J17" i="17"/>
  <c r="I17" i="17"/>
  <c r="J18" i="17" l="1"/>
  <c r="I18" i="17"/>
  <c r="J33" i="17"/>
  <c r="I33" i="17"/>
  <c r="H34" i="17"/>
  <c r="H35" i="17" l="1"/>
  <c r="J34" i="17"/>
  <c r="I34" i="17"/>
  <c r="J35" i="17" l="1"/>
  <c r="H36" i="17"/>
  <c r="I35" i="17"/>
  <c r="I36" i="17" l="1"/>
  <c r="H37" i="17"/>
  <c r="J36" i="17"/>
  <c r="J37" i="17" l="1"/>
  <c r="H38" i="17"/>
  <c r="I37" i="17"/>
  <c r="H39" i="17" l="1"/>
  <c r="J38" i="17"/>
  <c r="I38" i="17"/>
  <c r="J39" i="17" l="1"/>
  <c r="H40" i="17"/>
  <c r="I39" i="17"/>
  <c r="I40" i="17" l="1"/>
  <c r="H41" i="17"/>
  <c r="J40" i="17"/>
  <c r="J41" i="17" l="1"/>
  <c r="H42" i="17"/>
  <c r="I41" i="17"/>
  <c r="H43" i="17" l="1"/>
  <c r="J42" i="17"/>
  <c r="I42" i="17"/>
  <c r="H44" i="17" l="1"/>
  <c r="J43" i="17"/>
  <c r="I43" i="17"/>
  <c r="I44" i="17" l="1"/>
  <c r="H45" i="17"/>
  <c r="J44" i="17"/>
  <c r="J45" i="17" l="1"/>
  <c r="I45" i="17"/>
  <c r="H46" i="17"/>
  <c r="H47" i="17" l="1"/>
  <c r="I46" i="17"/>
  <c r="J46" i="17"/>
  <c r="H48" i="17" l="1"/>
  <c r="J47" i="17"/>
  <c r="I47" i="17"/>
  <c r="I48" i="17" l="1"/>
  <c r="H49" i="17"/>
  <c r="J48" i="17"/>
  <c r="J49" i="17" l="1"/>
  <c r="I49" i="17"/>
  <c r="H50" i="17"/>
  <c r="H51" i="17" l="1"/>
  <c r="I50" i="17"/>
  <c r="J50" i="17"/>
  <c r="J51" i="17" l="1"/>
  <c r="I51" i="17"/>
  <c r="H52" i="17"/>
  <c r="I52" i="17" l="1"/>
  <c r="H53" i="17"/>
  <c r="J52" i="17"/>
  <c r="J53" i="17" l="1"/>
  <c r="I53" i="17"/>
  <c r="H54" i="17"/>
  <c r="H55" i="17" l="1"/>
  <c r="I54" i="17"/>
  <c r="J54" i="17"/>
  <c r="H56" i="17" l="1"/>
  <c r="J55" i="17"/>
  <c r="I55" i="17"/>
  <c r="I56" i="17" l="1"/>
  <c r="H57" i="17"/>
  <c r="J56" i="17"/>
  <c r="J57" i="17" l="1"/>
  <c r="I57" i="17"/>
  <c r="H58" i="17"/>
  <c r="H59" i="17" l="1"/>
  <c r="I58" i="17"/>
  <c r="J58" i="17"/>
  <c r="J59" i="17" l="1"/>
  <c r="I59" i="17"/>
  <c r="H60" i="17"/>
  <c r="I60" i="17" l="1"/>
  <c r="H61" i="17"/>
  <c r="J60" i="17"/>
  <c r="J61" i="17" l="1"/>
  <c r="I61" i="17"/>
  <c r="H62" i="17"/>
  <c r="H63" i="17" l="1"/>
  <c r="I62" i="17"/>
  <c r="J62" i="17"/>
  <c r="H64" i="17" l="1"/>
  <c r="J63" i="17"/>
  <c r="I63" i="17"/>
  <c r="I64" i="17" l="1"/>
  <c r="H65" i="17"/>
  <c r="J64" i="17"/>
  <c r="J65" i="17" l="1"/>
  <c r="I65" i="17"/>
  <c r="H66" i="17"/>
  <c r="H67" i="17" l="1"/>
  <c r="J66" i="17"/>
  <c r="I66" i="17"/>
  <c r="H68" i="17" l="1"/>
  <c r="J67" i="17"/>
  <c r="I67" i="17"/>
  <c r="I68" i="17" l="1"/>
  <c r="H69" i="17"/>
  <c r="J68" i="17"/>
  <c r="J69" i="17" l="1"/>
  <c r="I69" i="17"/>
  <c r="H70" i="17"/>
  <c r="H71" i="17" l="1"/>
  <c r="J70" i="17"/>
  <c r="I70" i="17"/>
  <c r="J71" i="17" l="1"/>
  <c r="H72" i="17"/>
  <c r="I71" i="17"/>
  <c r="I72" i="17" l="1"/>
  <c r="H73" i="17"/>
  <c r="J72" i="17"/>
  <c r="J73" i="17" l="1"/>
  <c r="H74" i="17"/>
  <c r="I73" i="17"/>
  <c r="H75" i="17" l="1"/>
  <c r="J74" i="17"/>
  <c r="I74" i="17"/>
  <c r="H76" i="17" l="1"/>
  <c r="J75" i="17"/>
  <c r="I75" i="17"/>
  <c r="I76" i="17" l="1"/>
  <c r="H77" i="17"/>
  <c r="J76" i="17"/>
  <c r="J77" i="17" l="1"/>
  <c r="I77" i="17"/>
  <c r="H78" i="17"/>
  <c r="H79" i="17" l="1"/>
  <c r="J78" i="17"/>
  <c r="I78" i="17"/>
  <c r="H80" i="17" l="1"/>
  <c r="J79" i="17"/>
  <c r="I79" i="17"/>
  <c r="I80" i="17" l="1"/>
  <c r="H81" i="17"/>
  <c r="J80" i="17"/>
  <c r="J81" i="17" l="1"/>
  <c r="I81" i="17"/>
  <c r="H82" i="17"/>
  <c r="H83" i="17" l="1"/>
  <c r="J82" i="17"/>
  <c r="I82" i="17"/>
  <c r="H84" i="17" l="1"/>
  <c r="J83" i="17"/>
  <c r="I83" i="17"/>
  <c r="I84" i="17" l="1"/>
  <c r="H85" i="17"/>
  <c r="J84" i="17"/>
  <c r="J85" i="17" l="1"/>
  <c r="I85" i="17"/>
  <c r="B25" i="17" l="1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D28" i="17"/>
  <c r="A67" i="3" l="1"/>
  <c r="A11" i="3" l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8" i="3" s="1"/>
  <c r="A69" i="3" s="1"/>
  <c r="A70" i="3" s="1"/>
  <c r="A71" i="3" s="1"/>
  <c r="Z32" i="4"/>
  <c r="Y54" i="4"/>
  <c r="AA54" i="4" s="1"/>
  <c r="Z53" i="4"/>
  <c r="Y53" i="4"/>
  <c r="AA53" i="4" s="1"/>
  <c r="Z52" i="4"/>
  <c r="Y52" i="4"/>
  <c r="AA52" i="4" s="1"/>
  <c r="Y51" i="4"/>
  <c r="AA51" i="4" s="1"/>
  <c r="AA50" i="4"/>
  <c r="Y50" i="4"/>
  <c r="Z50" i="4" s="1"/>
  <c r="AA49" i="4"/>
  <c r="Z49" i="4"/>
  <c r="Y49" i="4"/>
  <c r="Z48" i="4"/>
  <c r="Y48" i="4"/>
  <c r="AA48" i="4" s="1"/>
  <c r="Y47" i="4"/>
  <c r="AA47" i="4" s="1"/>
  <c r="AA46" i="4"/>
  <c r="Y46" i="4"/>
  <c r="Z46" i="4" s="1"/>
  <c r="AA45" i="4"/>
  <c r="Z45" i="4"/>
  <c r="Y45" i="4"/>
  <c r="Z44" i="4"/>
  <c r="Y44" i="4"/>
  <c r="AA44" i="4" s="1"/>
  <c r="Y43" i="4"/>
  <c r="AA43" i="4" s="1"/>
  <c r="AA42" i="4"/>
  <c r="Y42" i="4"/>
  <c r="Z42" i="4" s="1"/>
  <c r="AA41" i="4"/>
  <c r="Z41" i="4"/>
  <c r="Y41" i="4"/>
  <c r="Y40" i="4"/>
  <c r="AA40" i="4" s="1"/>
  <c r="Y39" i="4"/>
  <c r="AA39" i="4" s="1"/>
  <c r="AA38" i="4"/>
  <c r="Y38" i="4"/>
  <c r="Z38" i="4" s="1"/>
  <c r="AA37" i="4"/>
  <c r="Z37" i="4"/>
  <c r="Y37" i="4"/>
  <c r="Y36" i="4"/>
  <c r="AA36" i="4" s="1"/>
  <c r="Y35" i="4"/>
  <c r="AA35" i="4" s="1"/>
  <c r="AA34" i="4"/>
  <c r="Y34" i="4"/>
  <c r="Z34" i="4" s="1"/>
  <c r="AA33" i="4"/>
  <c r="Z33" i="4"/>
  <c r="Y33" i="4"/>
  <c r="Y32" i="4"/>
  <c r="AA32" i="4" s="1"/>
  <c r="Y20" i="4"/>
  <c r="Y31" i="4"/>
  <c r="AA31" i="4" s="1"/>
  <c r="Y30" i="4"/>
  <c r="Z30" i="4" s="1"/>
  <c r="Y29" i="4"/>
  <c r="Z29" i="4" s="1"/>
  <c r="AA28" i="4"/>
  <c r="Y28" i="4"/>
  <c r="Z28" i="4" s="1"/>
  <c r="Y27" i="4"/>
  <c r="AA27" i="4" s="1"/>
  <c r="Y26" i="4"/>
  <c r="Z26" i="4" s="1"/>
  <c r="Y25" i="4"/>
  <c r="Z25" i="4" s="1"/>
  <c r="Y24" i="4"/>
  <c r="AA24" i="4" s="1"/>
  <c r="Y23" i="4"/>
  <c r="AA23" i="4" s="1"/>
  <c r="Y22" i="4"/>
  <c r="Z22" i="4" s="1"/>
  <c r="Y21" i="4"/>
  <c r="Z21" i="4" s="1"/>
  <c r="AA20" i="4"/>
  <c r="Y19" i="4"/>
  <c r="AA19" i="4" s="1"/>
  <c r="Y18" i="4"/>
  <c r="Z18" i="4" s="1"/>
  <c r="Y17" i="4"/>
  <c r="Z17" i="4" s="1"/>
  <c r="Y16" i="4"/>
  <c r="AA16" i="4" s="1"/>
  <c r="Y15" i="4"/>
  <c r="AA15" i="4" s="1"/>
  <c r="Y14" i="4"/>
  <c r="Z14" i="4" s="1"/>
  <c r="Y13" i="4"/>
  <c r="Z13" i="4" s="1"/>
  <c r="Y12" i="4"/>
  <c r="AA12" i="4" s="1"/>
  <c r="Y11" i="4"/>
  <c r="AA11" i="4" s="1"/>
  <c r="Y10" i="4"/>
  <c r="Z10" i="4" s="1"/>
  <c r="Z9" i="4"/>
  <c r="Y9" i="4"/>
  <c r="AA9" i="4" s="1"/>
  <c r="Y8" i="4"/>
  <c r="Z8" i="4" s="1"/>
  <c r="Y7" i="4"/>
  <c r="AA7" i="4" s="1"/>
  <c r="Y6" i="4"/>
  <c r="AA6" i="4" s="1"/>
  <c r="U12" i="1"/>
  <c r="Y5" i="4"/>
  <c r="Z36" i="4" l="1"/>
  <c r="Z40" i="4"/>
  <c r="Z35" i="4"/>
  <c r="Z39" i="4"/>
  <c r="Z43" i="4"/>
  <c r="Z47" i="4"/>
  <c r="Z51" i="4"/>
  <c r="Z54" i="4"/>
  <c r="Z12" i="4"/>
  <c r="Z20" i="4"/>
  <c r="AA13" i="4"/>
  <c r="Z16" i="4"/>
  <c r="Z24" i="4"/>
  <c r="Z19" i="4"/>
  <c r="Z23" i="4"/>
  <c r="Z27" i="4"/>
  <c r="AA17" i="4"/>
  <c r="AA21" i="4"/>
  <c r="AA25" i="4"/>
  <c r="AA29" i="4"/>
  <c r="AA8" i="4"/>
  <c r="Z15" i="4"/>
  <c r="AA10" i="4"/>
  <c r="AA14" i="4"/>
  <c r="AA18" i="4"/>
  <c r="AA22" i="4"/>
  <c r="AA26" i="4"/>
  <c r="AA30" i="4"/>
  <c r="Z7" i="4"/>
  <c r="Z31" i="4"/>
  <c r="Z11" i="4"/>
  <c r="Z6" i="4"/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I11" i="2"/>
  <c r="K11" i="2" s="1"/>
  <c r="G11" i="2"/>
  <c r="H11" i="2" s="1"/>
  <c r="G8" i="2"/>
  <c r="H8" i="2" s="1"/>
  <c r="I8" i="2"/>
  <c r="J8" i="2" s="1"/>
  <c r="AD41" i="1"/>
  <c r="AG20" i="1"/>
  <c r="AG11" i="1"/>
  <c r="AG10" i="1"/>
  <c r="AG9" i="1"/>
  <c r="AG8" i="1"/>
  <c r="AG7" i="1"/>
  <c r="AG6" i="1"/>
  <c r="AG5" i="1"/>
  <c r="AG4" i="1"/>
  <c r="AG3" i="1"/>
  <c r="AF15" i="1"/>
  <c r="AF11" i="1"/>
  <c r="AF10" i="1"/>
  <c r="AF9" i="1"/>
  <c r="AF8" i="1"/>
  <c r="AF7" i="1"/>
  <c r="AF6" i="1"/>
  <c r="AF5" i="1"/>
  <c r="AF4" i="1"/>
  <c r="AF3" i="1"/>
  <c r="K8" i="2" l="1"/>
  <c r="J11" i="2"/>
  <c r="Y18" i="1"/>
  <c r="Y11" i="1"/>
  <c r="X11" i="1"/>
  <c r="X10" i="1"/>
  <c r="Y10" i="1" s="1"/>
  <c r="Y9" i="1"/>
  <c r="X9" i="1"/>
  <c r="X8" i="1"/>
  <c r="Y8" i="1" s="1"/>
  <c r="Y7" i="1"/>
  <c r="X7" i="1"/>
  <c r="X6" i="1"/>
  <c r="Y6" i="1" s="1"/>
  <c r="Y5" i="1"/>
  <c r="X5" i="1"/>
  <c r="X4" i="1"/>
  <c r="Y4" i="1" s="1"/>
  <c r="Y3" i="1"/>
  <c r="X3" i="1"/>
  <c r="W3" i="1"/>
  <c r="W11" i="1"/>
  <c r="W10" i="1"/>
  <c r="W9" i="1"/>
  <c r="W8" i="1"/>
  <c r="W7" i="1"/>
  <c r="W6" i="1"/>
  <c r="W5" i="1"/>
  <c r="W4" i="1"/>
  <c r="AF16" i="1"/>
  <c r="AE15" i="1"/>
  <c r="AE16" i="1"/>
  <c r="AE18" i="1"/>
  <c r="T11" i="1"/>
  <c r="U11" i="1" s="1"/>
  <c r="T10" i="1"/>
  <c r="U10" i="1" s="1"/>
  <c r="T9" i="1"/>
  <c r="V9" i="1" s="1"/>
  <c r="AE36" i="1" s="1"/>
  <c r="U9" i="1"/>
  <c r="T8" i="1"/>
  <c r="U8" i="1" s="1"/>
  <c r="T7" i="1"/>
  <c r="U7" i="1" s="1"/>
  <c r="T5" i="1"/>
  <c r="U5" i="1" s="1"/>
  <c r="T4" i="1"/>
  <c r="U4" i="1" s="1"/>
  <c r="T3" i="1"/>
  <c r="V3" i="1" s="1"/>
  <c r="W18" i="1" l="1"/>
  <c r="AE30" i="1"/>
  <c r="V7" i="1"/>
  <c r="AE34" i="1" s="1"/>
  <c r="V4" i="1"/>
  <c r="V8" i="1"/>
  <c r="AE35" i="1" s="1"/>
  <c r="V5" i="1"/>
  <c r="AE32" i="1" s="1"/>
  <c r="V11" i="1"/>
  <c r="AE38" i="1" s="1"/>
  <c r="V10" i="1"/>
  <c r="AE37" i="1" s="1"/>
  <c r="AE19" i="1"/>
  <c r="U3" i="1"/>
  <c r="AE31" i="1" l="1"/>
  <c r="T6" i="1" l="1"/>
  <c r="V6" i="1" s="1"/>
  <c r="AE33" i="1" l="1"/>
  <c r="AE27" i="1"/>
  <c r="AE25" i="1"/>
  <c r="AE26" i="1"/>
  <c r="U6" i="1"/>
  <c r="Z18" i="1" s="1"/>
</calcChain>
</file>

<file path=xl/sharedStrings.xml><?xml version="1.0" encoding="utf-8"?>
<sst xmlns="http://schemas.openxmlformats.org/spreadsheetml/2006/main" count="2459" uniqueCount="409">
  <si>
    <t>Reading Number</t>
  </si>
  <si>
    <t xml:space="preserve"> Date</t>
  </si>
  <si>
    <t xml:space="preserve"> Time</t>
  </si>
  <si>
    <t xml:space="preserve"> Volumetric Moisture %</t>
  </si>
  <si>
    <t xml:space="preserve"> K Value</t>
  </si>
  <si>
    <t xml:space="preserve"> Zero Time (ps)</t>
  </si>
  <si>
    <t xml:space="preserve"> Start Time (ps)</t>
  </si>
  <si>
    <t xml:space="preserve"> End Time (ps)</t>
  </si>
  <si>
    <t xml:space="preserve"> Delta Time (ps)</t>
  </si>
  <si>
    <t xml:space="preserve"> Probe Length (cm)</t>
  </si>
  <si>
    <t xml:space="preserve"> Comment</t>
  </si>
  <si>
    <t>Dry sand</t>
  </si>
  <si>
    <t>Di water</t>
  </si>
  <si>
    <t>1000 uS cm 1K container</t>
  </si>
  <si>
    <t>2000 uS cm 1 L container</t>
  </si>
  <si>
    <t>5000 uS cm 1 L contauner</t>
  </si>
  <si>
    <t>Sat sand no saline; 1 L container</t>
  </si>
  <si>
    <t>Sat sand 1000 uS cm ;1L container</t>
  </si>
  <si>
    <t>Sat sand 2000 uS cm; 1 L container</t>
  </si>
  <si>
    <t>Sat sand 5000 uS cm 1 L container</t>
  </si>
  <si>
    <t>Effective L</t>
  </si>
  <si>
    <t>v0</t>
  </si>
  <si>
    <t>v1</t>
  </si>
  <si>
    <t>v2</t>
  </si>
  <si>
    <t>v3</t>
  </si>
  <si>
    <t>vf</t>
  </si>
  <si>
    <t>effective Ka</t>
  </si>
  <si>
    <t>vr</t>
  </si>
  <si>
    <t>EC Dalton 1986</t>
  </si>
  <si>
    <t>HydraGO Raw EC</t>
  </si>
  <si>
    <t>Trace</t>
  </si>
  <si>
    <t>HydraGO</t>
  </si>
  <si>
    <t>Slope</t>
  </si>
  <si>
    <t>Intercept</t>
  </si>
  <si>
    <t>Trace coected</t>
  </si>
  <si>
    <t>Dalton</t>
  </si>
  <si>
    <t>TOPP</t>
  </si>
  <si>
    <t>R^2</t>
  </si>
  <si>
    <t>Topp Corrected</t>
  </si>
  <si>
    <t>Dalton r^2</t>
  </si>
  <si>
    <t>Topp using Vf</t>
  </si>
  <si>
    <t>Giese and Tiemann 1975</t>
  </si>
  <si>
    <t>Yanuka Coe</t>
  </si>
  <si>
    <t>Yanuka 1988</t>
  </si>
  <si>
    <t>r^2</t>
  </si>
  <si>
    <t>Trace using Tensor</t>
  </si>
  <si>
    <t>EC uS/cm</t>
  </si>
  <si>
    <t>EC S/m</t>
  </si>
  <si>
    <t>EC dS/m</t>
  </si>
  <si>
    <t>g/L</t>
  </si>
  <si>
    <t>40Liters</t>
  </si>
  <si>
    <t>Note</t>
  </si>
  <si>
    <t>In Soil</t>
  </si>
  <si>
    <t>KCL Aq</t>
  </si>
  <si>
    <t>7 times the diameter</t>
  </si>
  <si>
    <t>Slamer Diameter</t>
  </si>
  <si>
    <t>6 cm</t>
  </si>
  <si>
    <t>42 cm diameter</t>
  </si>
  <si>
    <t>Lenth</t>
  </si>
  <si>
    <t>40 cm</t>
  </si>
  <si>
    <t>More than 50 cm deep</t>
  </si>
  <si>
    <t xml:space="preserve">Trace EC References </t>
  </si>
  <si>
    <t>Wide</t>
  </si>
  <si>
    <t>16.5 Inches</t>
  </si>
  <si>
    <t>Deep More than</t>
  </si>
  <si>
    <t>Bar</t>
  </si>
  <si>
    <t>Vol %</t>
  </si>
  <si>
    <t>VAT</t>
  </si>
  <si>
    <t>grams In 53 litters</t>
  </si>
  <si>
    <t>FLD</t>
  </si>
  <si>
    <t>Dry sand middle</t>
  </si>
  <si>
    <t xml:space="preserve"> Interval Time (ps)</t>
  </si>
  <si>
    <t xml:space="preserve"> Probe Index</t>
  </si>
  <si>
    <t xml:space="preserve"> Probe Type</t>
  </si>
  <si>
    <t>HydraGO EC Tc</t>
  </si>
  <si>
    <t>All ECs in S/m</t>
  </si>
  <si>
    <t>V1a</t>
  </si>
  <si>
    <t>Training S/m</t>
  </si>
  <si>
    <t>Dry sand; middle; coated</t>
  </si>
  <si>
    <t>CCT</t>
  </si>
  <si>
    <t>Dry Sand</t>
  </si>
  <si>
    <t>BUR</t>
  </si>
  <si>
    <t>Actual g in 40</t>
  </si>
  <si>
    <t>EC Ref</t>
  </si>
  <si>
    <t>EC TC HydraGO</t>
  </si>
  <si>
    <t>VAT2</t>
  </si>
  <si>
    <t>In Soil Saturated no Salinity</t>
  </si>
  <si>
    <t>NaCL Aq</t>
  </si>
  <si>
    <t>KCL Na Aq</t>
  </si>
  <si>
    <t>17.2  and 17.2</t>
  </si>
  <si>
    <t>Tap Water</t>
  </si>
  <si>
    <t>From Vat 2</t>
  </si>
  <si>
    <t>From Vat 1</t>
  </si>
  <si>
    <t>KCl Aq</t>
  </si>
  <si>
    <t>Solution</t>
  </si>
  <si>
    <t>Upper limit</t>
  </si>
  <si>
    <t>Upper Limit</t>
  </si>
  <si>
    <t>ID</t>
  </si>
  <si>
    <t>Low EC aq KCL</t>
  </si>
  <si>
    <t>Na K mix aq</t>
  </si>
  <si>
    <t>AQ from Vat 2</t>
  </si>
  <si>
    <t>KCl AQ</t>
  </si>
  <si>
    <t>NaCl AQ</t>
  </si>
  <si>
    <t>AQ From Vat 1</t>
  </si>
  <si>
    <t>In Soil From VAT1</t>
  </si>
  <si>
    <t>Sat Sand no Sal</t>
  </si>
  <si>
    <t>In Soil Fro Vat 2</t>
  </si>
  <si>
    <t>EC Ref 4/7/23</t>
  </si>
  <si>
    <t>HydraGO EC TC</t>
  </si>
  <si>
    <t>HydraGO Er Raw</t>
  </si>
  <si>
    <t>EC Ref 4/11/23</t>
  </si>
  <si>
    <t>Sol 7</t>
  </si>
  <si>
    <t>Vat 2</t>
  </si>
  <si>
    <t>Sol 2</t>
  </si>
  <si>
    <t>Sol 6</t>
  </si>
  <si>
    <t>Sol 1</t>
  </si>
  <si>
    <t>Sol 10</t>
  </si>
  <si>
    <t>Vat 1</t>
  </si>
  <si>
    <t>Sol 11</t>
  </si>
  <si>
    <t>Sol 5</t>
  </si>
  <si>
    <t>BCT</t>
  </si>
  <si>
    <t>Sol; 10</t>
  </si>
  <si>
    <t>Sol11</t>
  </si>
  <si>
    <t>Sol7</t>
  </si>
  <si>
    <t>Vat2</t>
  </si>
  <si>
    <t>Vat1</t>
  </si>
  <si>
    <t>Sol2</t>
  </si>
  <si>
    <t>Sol1</t>
  </si>
  <si>
    <t>Sol 10 sat sand</t>
  </si>
  <si>
    <t>Sol 11 dry sand</t>
  </si>
  <si>
    <t>Red got tweeksed</t>
  </si>
  <si>
    <t>L</t>
  </si>
  <si>
    <t>Type</t>
  </si>
  <si>
    <t>Hit Limit</t>
  </si>
  <si>
    <t>ch_sample</t>
  </si>
  <si>
    <t>sol_number</t>
  </si>
  <si>
    <t>Date</t>
  </si>
  <si>
    <t>Ref_EC</t>
  </si>
  <si>
    <t>Volumetric</t>
  </si>
  <si>
    <t>Ka_trace</t>
  </si>
  <si>
    <t>Zero_Time</t>
  </si>
  <si>
    <t>t_s</t>
  </si>
  <si>
    <t>t_f</t>
  </si>
  <si>
    <t>t_dif</t>
  </si>
  <si>
    <t>int_time</t>
  </si>
  <si>
    <t>Probee_index</t>
  </si>
  <si>
    <t>Probe_type</t>
  </si>
  <si>
    <t>Probe_L</t>
  </si>
  <si>
    <t>Ka</t>
  </si>
  <si>
    <t>v1a</t>
  </si>
  <si>
    <t>sf</t>
  </si>
  <si>
    <t>EC_Dalton</t>
  </si>
  <si>
    <t>ECtopp</t>
  </si>
  <si>
    <t>[2481]</t>
  </si>
  <si>
    <t>27    Sol 11
Name: S</t>
  </si>
  <si>
    <t>2    4/11/23</t>
  </si>
  <si>
    <t>[2483]</t>
  </si>
  <si>
    <t>27    Sol 5
Name: S</t>
  </si>
  <si>
    <t>[2484]</t>
  </si>
  <si>
    <t>27    Sol 10
Name: S</t>
  </si>
  <si>
    <t>[2485]</t>
  </si>
  <si>
    <t>27    Vat1
Name: S</t>
  </si>
  <si>
    <t>[2486]</t>
  </si>
  <si>
    <t>27    Sol 1
Name: S</t>
  </si>
  <si>
    <t>[2487]</t>
  </si>
  <si>
    <t>27    Sol 2
Name: S</t>
  </si>
  <si>
    <t>[2488]</t>
  </si>
  <si>
    <t>27    Sol 6
Name: S</t>
  </si>
  <si>
    <t>[2489]</t>
  </si>
  <si>
    <t>27    Vat2
Name: S</t>
  </si>
  <si>
    <t>[2490]</t>
  </si>
  <si>
    <t>27    Sol7
Name: S</t>
  </si>
  <si>
    <t>[2514]</t>
  </si>
  <si>
    <t>[2515]</t>
  </si>
  <si>
    <t>[2516]</t>
  </si>
  <si>
    <t>27    Sol; 10
Name: S</t>
  </si>
  <si>
    <t>[2517]</t>
  </si>
  <si>
    <t>27    Vat 1
Name: S</t>
  </si>
  <si>
    <t>[2518]</t>
  </si>
  <si>
    <t>[2519]</t>
  </si>
  <si>
    <t>[2520]</t>
  </si>
  <si>
    <t>[2521]</t>
  </si>
  <si>
    <t>27    Vat 2
Name: S</t>
  </si>
  <si>
    <t>[2522]</t>
  </si>
  <si>
    <t>27    Sol 7
Name: S</t>
  </si>
  <si>
    <t>[2527]</t>
  </si>
  <si>
    <t>[2525]</t>
  </si>
  <si>
    <t>[2528]</t>
  </si>
  <si>
    <t>[2529]</t>
  </si>
  <si>
    <t>[2530]</t>
  </si>
  <si>
    <t>[2531]</t>
  </si>
  <si>
    <t>[2499]</t>
  </si>
  <si>
    <t>27    Sol11
Name: S</t>
  </si>
  <si>
    <t>[2500]</t>
  </si>
  <si>
    <t>[2501]</t>
  </si>
  <si>
    <t>[2502]</t>
  </si>
  <si>
    <t>[2503]</t>
  </si>
  <si>
    <t>[2504]</t>
  </si>
  <si>
    <t>[2505]</t>
  </si>
  <si>
    <t>[2506]</t>
  </si>
  <si>
    <t>[2507]</t>
  </si>
  <si>
    <t>[2466]</t>
  </si>
  <si>
    <t>2    4/8/23</t>
  </si>
  <si>
    <t>FCT</t>
  </si>
  <si>
    <t>[2467]</t>
  </si>
  <si>
    <t>[2468]</t>
  </si>
  <si>
    <t>[2469]</t>
  </si>
  <si>
    <t>[2471]</t>
  </si>
  <si>
    <t>27    Sol1
Name: S</t>
  </si>
  <si>
    <t>[2470]</t>
  </si>
  <si>
    <t>27    Sol2
Name: S</t>
  </si>
  <si>
    <t>[2472]</t>
  </si>
  <si>
    <t>[2473]</t>
  </si>
  <si>
    <t>[2474]</t>
  </si>
  <si>
    <t>[2453]</t>
  </si>
  <si>
    <t>27    Sol 11 dry sand
Name: S</t>
  </si>
  <si>
    <t>2    4/7/23</t>
  </si>
  <si>
    <t>[2456]</t>
  </si>
  <si>
    <t>[2455]</t>
  </si>
  <si>
    <t>27    Sol 10 sat sand
Name: S</t>
  </si>
  <si>
    <t>[2461]</t>
  </si>
  <si>
    <t>[2457]</t>
  </si>
  <si>
    <t>Vat2, no good</t>
  </si>
  <si>
    <t>Date scan</t>
  </si>
  <si>
    <t>sample num</t>
  </si>
  <si>
    <t>FCT Coated Slammer</t>
  </si>
  <si>
    <t>Moisture%</t>
  </si>
  <si>
    <t>Topp</t>
  </si>
  <si>
    <t>Er/Ea</t>
  </si>
  <si>
    <t>Seyfreid</t>
  </si>
  <si>
    <t>Top</t>
  </si>
  <si>
    <t>Pore Water</t>
  </si>
  <si>
    <t>[2535]</t>
  </si>
  <si>
    <t>[2534]</t>
  </si>
  <si>
    <t>[2533]</t>
  </si>
  <si>
    <t>[2462]</t>
  </si>
  <si>
    <t>[2460]</t>
  </si>
  <si>
    <t>[2459]</t>
  </si>
  <si>
    <t>[2458]</t>
  </si>
  <si>
    <t>[2454]</t>
  </si>
  <si>
    <t>Rewf</t>
  </si>
  <si>
    <t>C</t>
  </si>
  <si>
    <t>c</t>
  </si>
  <si>
    <t>Length</t>
  </si>
  <si>
    <t>EC Ref 5/24/23</t>
  </si>
  <si>
    <t>Watered down Vat1</t>
  </si>
  <si>
    <t>30 NaCL grams to Vat2</t>
  </si>
  <si>
    <t xml:space="preserve">155 grams </t>
  </si>
  <si>
    <t>Sol 9</t>
  </si>
  <si>
    <t>Sol 3</t>
  </si>
  <si>
    <t>Sol 4</t>
  </si>
  <si>
    <t>Sol 12</t>
  </si>
  <si>
    <t>Sol 8</t>
  </si>
  <si>
    <t>Sol. 5</t>
  </si>
  <si>
    <t>Dilute Sol 6</t>
  </si>
  <si>
    <t>Dilute Sol 7</t>
  </si>
  <si>
    <t>Dilute Sol 4</t>
  </si>
  <si>
    <t>Add 20 grams to Sol 1</t>
  </si>
  <si>
    <t>EC Ref 5/30/23</t>
  </si>
  <si>
    <t>From HydraGO</t>
  </si>
  <si>
    <t>Solution ID</t>
  </si>
  <si>
    <t>Remark</t>
  </si>
  <si>
    <t>Low EC aq, 17.225 g  KCL/40 L</t>
  </si>
  <si>
    <t>Low EC aq, 10g  KCL/40 L</t>
  </si>
  <si>
    <t>Higher EC aq, 100g  KCL/40 L</t>
  </si>
  <si>
    <t>Na K mix aq, 17.2 NaCl and 17.2 g KCl in 40L</t>
  </si>
  <si>
    <t>Upper limit, 155g in 40L Mix Na and K</t>
  </si>
  <si>
    <t xml:space="preserve">AQ from Vat 2, Add 30 g NaCl. </t>
  </si>
  <si>
    <t>KCl AQ, 100 g KCl/ 40L</t>
  </si>
  <si>
    <t>NaCl AQ, 100 g NaCl/40 L</t>
  </si>
  <si>
    <t>AQ From Vat 1, Dilute after filling Sol 9</t>
  </si>
  <si>
    <t>HydraGO Bulk EC Raw</t>
  </si>
  <si>
    <t>Sol 15</t>
  </si>
  <si>
    <t>Sol 14</t>
  </si>
  <si>
    <t>Sol 13</t>
  </si>
  <si>
    <t>Sol 16</t>
  </si>
  <si>
    <t>val_y</t>
  </si>
  <si>
    <t>predicted</t>
  </si>
  <si>
    <t>dif</t>
  </si>
  <si>
    <t>27    Vat2, no good
Name: S</t>
  </si>
  <si>
    <t>[2650]</t>
  </si>
  <si>
    <t>27    Sol 9
Name: S</t>
  </si>
  <si>
    <t>2    5/25/23</t>
  </si>
  <si>
    <t>[2654]</t>
  </si>
  <si>
    <t>27    Sol 3
Name: S</t>
  </si>
  <si>
    <t>[2653]</t>
  </si>
  <si>
    <t>27    Sol 4
Name: S</t>
  </si>
  <si>
    <t>[2652]</t>
  </si>
  <si>
    <t>27    Sol 12
Name: S</t>
  </si>
  <si>
    <t>[2651]</t>
  </si>
  <si>
    <t>27    Sol 8
Name: S</t>
  </si>
  <si>
    <t>[2648]</t>
  </si>
  <si>
    <t>[2647]</t>
  </si>
  <si>
    <t>[2646]</t>
  </si>
  <si>
    <t>[2645]</t>
  </si>
  <si>
    <t>[2644]</t>
  </si>
  <si>
    <t>[2641]</t>
  </si>
  <si>
    <t>[2640]</t>
  </si>
  <si>
    <t>[2639]</t>
  </si>
  <si>
    <t>[2638]</t>
  </si>
  <si>
    <t>[2636]</t>
  </si>
  <si>
    <t>[2635]</t>
  </si>
  <si>
    <t>[2634]</t>
  </si>
  <si>
    <t>[2633]</t>
  </si>
  <si>
    <t>[2632]</t>
  </si>
  <si>
    <t>[2630]</t>
  </si>
  <si>
    <t>[2629]</t>
  </si>
  <si>
    <t>[2628]</t>
  </si>
  <si>
    <t>[2627]</t>
  </si>
  <si>
    <t>[2626]</t>
  </si>
  <si>
    <t>[2621]</t>
  </si>
  <si>
    <t>[2620]</t>
  </si>
  <si>
    <t>[2619]</t>
  </si>
  <si>
    <t>[2613]</t>
  </si>
  <si>
    <t>[2610]</t>
  </si>
  <si>
    <t>[2609]</t>
  </si>
  <si>
    <t>[2608]</t>
  </si>
  <si>
    <t>[2607]</t>
  </si>
  <si>
    <t>[2596]</t>
  </si>
  <si>
    <t>[2595]</t>
  </si>
  <si>
    <t>[2594]</t>
  </si>
  <si>
    <t>[2593]</t>
  </si>
  <si>
    <t>[2592]</t>
  </si>
  <si>
    <t>[2589]</t>
  </si>
  <si>
    <t>2    5/24/23</t>
  </si>
  <si>
    <t>[2588]</t>
  </si>
  <si>
    <t>[2587]</t>
  </si>
  <si>
    <t>[2586]</t>
  </si>
  <si>
    <t>[2585]</t>
  </si>
  <si>
    <t>[2584]</t>
  </si>
  <si>
    <t>[2583]</t>
  </si>
  <si>
    <t>[2581]</t>
  </si>
  <si>
    <t>[2582]</t>
  </si>
  <si>
    <t>27    Sol. 5
Name: S</t>
  </si>
  <si>
    <t>[2571]</t>
  </si>
  <si>
    <t>[2570]</t>
  </si>
  <si>
    <t>[2569]</t>
  </si>
  <si>
    <t>[2568]</t>
  </si>
  <si>
    <t>[2567]</t>
  </si>
  <si>
    <t>[2566]</t>
  </si>
  <si>
    <t>[2565]</t>
  </si>
  <si>
    <t>[2564]</t>
  </si>
  <si>
    <t>[2563]</t>
  </si>
  <si>
    <t>[2691]</t>
  </si>
  <si>
    <t>27    Sol 15
Name: S</t>
  </si>
  <si>
    <t>2    5/30/23</t>
  </si>
  <si>
    <t>[2690]</t>
  </si>
  <si>
    <t>27    Sol 14
Name: S</t>
  </si>
  <si>
    <t>[2689]</t>
  </si>
  <si>
    <t>27    Sol 13
Name: S</t>
  </si>
  <si>
    <t>[2688]</t>
  </si>
  <si>
    <t>27    Sol 16
Name: S</t>
  </si>
  <si>
    <t>[2685]</t>
  </si>
  <si>
    <t>[2684]</t>
  </si>
  <si>
    <t>[2683]</t>
  </si>
  <si>
    <t>[2682]</t>
  </si>
  <si>
    <t>[2679]</t>
  </si>
  <si>
    <t>[2678]</t>
  </si>
  <si>
    <t>[2677]</t>
  </si>
  <si>
    <t>[2676]</t>
  </si>
  <si>
    <t>[2673]</t>
  </si>
  <si>
    <t>[2672]</t>
  </si>
  <si>
    <t>[2671]</t>
  </si>
  <si>
    <t>[2670]</t>
  </si>
  <si>
    <t>[2667]</t>
  </si>
  <si>
    <t>[2666]</t>
  </si>
  <si>
    <t>[2665]</t>
  </si>
  <si>
    <t>[2664]</t>
  </si>
  <si>
    <t>[2661]</t>
  </si>
  <si>
    <t>[2660]</t>
  </si>
  <si>
    <t>[2659]</t>
  </si>
  <si>
    <t>[2657]</t>
  </si>
  <si>
    <t>EC_Dalton_Calc</t>
  </si>
  <si>
    <t>EC_Topp_calc</t>
  </si>
  <si>
    <t>Dalton_EC Coe</t>
  </si>
  <si>
    <t>Topp_EC_Coe</t>
  </si>
  <si>
    <t>BUR 20</t>
  </si>
  <si>
    <t>EC_Dalton_raw</t>
  </si>
  <si>
    <t>Ectopp_raw</t>
  </si>
  <si>
    <t>Topp r^2</t>
  </si>
  <si>
    <t>A</t>
  </si>
  <si>
    <t>B</t>
  </si>
  <si>
    <t>Dalton_M</t>
  </si>
  <si>
    <t>Dalton_B</t>
  </si>
  <si>
    <t>Topp_M</t>
  </si>
  <si>
    <t>Topp_B</t>
  </si>
  <si>
    <t>Ectopp</t>
  </si>
  <si>
    <t>EC_Dalton_Calc_forR2</t>
  </si>
  <si>
    <t>EC_Topp_calc_forR2</t>
  </si>
  <si>
    <t>EC_Dalton_Line</t>
  </si>
  <si>
    <t>Ectopp_Line</t>
  </si>
  <si>
    <t>EC_Dalton_Poly</t>
  </si>
  <si>
    <t>EC_ToppePoly</t>
  </si>
  <si>
    <t>DaltonDIF_Linear</t>
  </si>
  <si>
    <t>ToppDIF_Linear</t>
  </si>
  <si>
    <t>DaltonDif_poly</t>
  </si>
  <si>
    <t>Topp_Dif_poly</t>
  </si>
  <si>
    <t>ToppRMSE_Lin</t>
  </si>
  <si>
    <t>DalttonRMSE_Lin</t>
  </si>
  <si>
    <t>ToppRMSE_Poly</t>
  </si>
  <si>
    <t>LREG</t>
  </si>
  <si>
    <t>b</t>
  </si>
  <si>
    <t>LR_Dif</t>
  </si>
  <si>
    <t>RMSE</t>
  </si>
  <si>
    <t>Ref</t>
  </si>
  <si>
    <t>dif^2</t>
  </si>
  <si>
    <t>Row#</t>
  </si>
  <si>
    <t>HydraGO Raw Real Dielectric</t>
  </si>
  <si>
    <t>VAT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</si>
</sst>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2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HydraGO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114252622336798"/>
                  <c:y val="-5.1895582017765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'052623'!$G$32:$G$49</c:f>
              <c:numCache>
                <c:formatCode>General</c:formatCode>
                <c:ptCount val="18"/>
                <c:pt idx="0">
                  <c:v>8.1500000000000003E-2</c:v>
                </c:pt>
                <c:pt idx="1">
                  <c:v>5.7000000000000002E-2</c:v>
                </c:pt>
                <c:pt idx="2">
                  <c:v>0.38500000000000001</c:v>
                </c:pt>
                <c:pt idx="3">
                  <c:v>0.16</c:v>
                </c:pt>
                <c:pt idx="5">
                  <c:v>0.316</c:v>
                </c:pt>
                <c:pt idx="6">
                  <c:v>3.5999999999999997E-2</c:v>
                </c:pt>
                <c:pt idx="7">
                  <c:v>0.38</c:v>
                </c:pt>
                <c:pt idx="8">
                  <c:v>0.38</c:v>
                </c:pt>
                <c:pt idx="9">
                  <c:v>3.2000000000000001E-2</c:v>
                </c:pt>
                <c:pt idx="10">
                  <c:v>5.5E-2</c:v>
                </c:pt>
                <c:pt idx="11">
                  <c:v>0.02</c:v>
                </c:pt>
                <c:pt idx="12">
                  <c:v>0</c:v>
                </c:pt>
                <c:pt idx="13">
                  <c:v>0.372</c:v>
                </c:pt>
                <c:pt idx="14">
                  <c:v>0.25</c:v>
                </c:pt>
                <c:pt idx="15">
                  <c:v>0.27</c:v>
                </c:pt>
                <c:pt idx="16">
                  <c:v>0.23200000000000001</c:v>
                </c:pt>
                <c:pt idx="17">
                  <c:v>0.157</c:v>
                </c:pt>
              </c:numCache>
            </c:numRef>
          </c:xVal>
          <c:yVal>
            <c:numRef>
              <c:f>'052623'!$F$32:$F$49</c:f>
              <c:numCache>
                <c:formatCode>General</c:formatCode>
                <c:ptCount val="18"/>
                <c:pt idx="0">
                  <c:v>8.0199999999999994E-2</c:v>
                </c:pt>
                <c:pt idx="1">
                  <c:v>5.11E-2</c:v>
                </c:pt>
                <c:pt idx="2">
                  <c:v>0.42499999999999999</c:v>
                </c:pt>
                <c:pt idx="3">
                  <c:v>0.15679999999999999</c:v>
                </c:pt>
                <c:pt idx="5">
                  <c:v>0.316</c:v>
                </c:pt>
                <c:pt idx="6">
                  <c:v>7.2199999999999999E-3</c:v>
                </c:pt>
                <c:pt idx="7">
                  <c:v>0.41399999999999998</c:v>
                </c:pt>
                <c:pt idx="8">
                  <c:v>0.437</c:v>
                </c:pt>
                <c:pt idx="9">
                  <c:v>2.8400000000000002E-2</c:v>
                </c:pt>
                <c:pt idx="10">
                  <c:v>5.9400000000000001E-2</c:v>
                </c:pt>
                <c:pt idx="11">
                  <c:v>1.9900000000000001E-2</c:v>
                </c:pt>
                <c:pt idx="12">
                  <c:v>0</c:v>
                </c:pt>
                <c:pt idx="13">
                  <c:v>0.41299999999999998</c:v>
                </c:pt>
                <c:pt idx="14">
                  <c:v>0.25800000000000001</c:v>
                </c:pt>
                <c:pt idx="15">
                  <c:v>0.28199999999999997</c:v>
                </c:pt>
                <c:pt idx="16">
                  <c:v>0.24099999999999999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5442-9114-49D9A542A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11231"/>
        <c:axId val="267408319"/>
      </c:scatterChart>
      <c:valAx>
        <c:axId val="31771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HydraGO Bulk</a:t>
                </a:r>
                <a:r>
                  <a:rPr lang="en-US" baseline="0"/>
                  <a:t> EC (S/m)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08319"/>
        <c:crosses val="autoZero"/>
        <c:crossBetween val="midCat"/>
      </c:valAx>
      <c:valAx>
        <c:axId val="2674083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FLD_40!$Z$2:$Z$19</c:f>
              <c:numCache>
                <c:formatCode>General</c:formatCode>
                <c:ptCount val="18"/>
                <c:pt idx="0">
                  <c:v>0.35344662570858465</c:v>
                </c:pt>
                <c:pt idx="1">
                  <c:v>8.5846787629667701E-2</c:v>
                </c:pt>
                <c:pt idx="2">
                  <c:v>0.35811247630254772</c:v>
                </c:pt>
                <c:pt idx="3">
                  <c:v>0.23212061570145634</c:v>
                </c:pt>
                <c:pt idx="4">
                  <c:v>0.35701471778362193</c:v>
                </c:pt>
                <c:pt idx="5">
                  <c:v>-2.1710579845646765E-2</c:v>
                </c:pt>
                <c:pt idx="6">
                  <c:v>0.13491085073159179</c:v>
                </c:pt>
                <c:pt idx="7">
                  <c:v>-2.7744655949503556E-2</c:v>
                </c:pt>
                <c:pt idx="8">
                  <c:v>-2.6666938280433056E-2</c:v>
                </c:pt>
                <c:pt idx="9">
                  <c:v>-4.2231232207563085E-2</c:v>
                </c:pt>
                <c:pt idx="10">
                  <c:v>0.16031842068482099</c:v>
                </c:pt>
                <c:pt idx="11">
                  <c:v>4.1074331974542785E-2</c:v>
                </c:pt>
                <c:pt idx="12">
                  <c:v>2.7745934864342042E-3</c:v>
                </c:pt>
                <c:pt idx="13">
                  <c:v>0.27159248574221317</c:v>
                </c:pt>
                <c:pt idx="14">
                  <c:v>0.29133079649528204</c:v>
                </c:pt>
                <c:pt idx="15">
                  <c:v>0.28212798357349422</c:v>
                </c:pt>
                <c:pt idx="16">
                  <c:v>0.22003272046888919</c:v>
                </c:pt>
              </c:numCache>
            </c:numRef>
          </c:xVal>
          <c:yVal>
            <c:numRef>
              <c:f>FLD_40!$D$2:$D$19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5.11E-2</c:v>
                </c:pt>
                <c:pt idx="2">
                  <c:v>0.437</c:v>
                </c:pt>
                <c:pt idx="3">
                  <c:v>0.1552</c:v>
                </c:pt>
                <c:pt idx="4">
                  <c:v>0.41399999999999998</c:v>
                </c:pt>
                <c:pt idx="5">
                  <c:v>7.3499999999999998E-3</c:v>
                </c:pt>
                <c:pt idx="6">
                  <c:v>7.9600000000000004E-2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0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6E-B542-AFC7-6231406D40AE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FLD_40!$Y$2:$Y$19</c:f>
              <c:numCache>
                <c:formatCode>General</c:formatCode>
                <c:ptCount val="18"/>
                <c:pt idx="0">
                  <c:v>0.35831376804911941</c:v>
                </c:pt>
                <c:pt idx="1">
                  <c:v>7.3426971248008441E-2</c:v>
                </c:pt>
                <c:pt idx="2">
                  <c:v>0.36444619188578936</c:v>
                </c:pt>
                <c:pt idx="3">
                  <c:v>0.2290817843402142</c:v>
                </c:pt>
                <c:pt idx="4">
                  <c:v>0.3632604528407824</c:v>
                </c:pt>
                <c:pt idx="5">
                  <c:v>-4.1120825338073937E-2</c:v>
                </c:pt>
                <c:pt idx="6">
                  <c:v>0.12497730056916703</c:v>
                </c:pt>
                <c:pt idx="7">
                  <c:v>-2.2387404864682717E-2</c:v>
                </c:pt>
                <c:pt idx="8">
                  <c:v>-2.0421363253563529E-2</c:v>
                </c:pt>
                <c:pt idx="9">
                  <c:v>-1.9578978256038937E-2</c:v>
                </c:pt>
                <c:pt idx="10">
                  <c:v>0.17090883021869244</c:v>
                </c:pt>
                <c:pt idx="11">
                  <c:v>2.6573082895316617E-2</c:v>
                </c:pt>
                <c:pt idx="12">
                  <c:v>7.3086656944572961E-3</c:v>
                </c:pt>
                <c:pt idx="13">
                  <c:v>0.27039486142926206</c:v>
                </c:pt>
                <c:pt idx="14">
                  <c:v>0.29081823065208984</c:v>
                </c:pt>
                <c:pt idx="15">
                  <c:v>0.28125059265961305</c:v>
                </c:pt>
                <c:pt idx="16">
                  <c:v>0.21509783922984732</c:v>
                </c:pt>
              </c:numCache>
            </c:numRef>
          </c:xVal>
          <c:yVal>
            <c:numRef>
              <c:f>FLD_40!$D$2:$D$19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5.11E-2</c:v>
                </c:pt>
                <c:pt idx="2">
                  <c:v>0.437</c:v>
                </c:pt>
                <c:pt idx="3">
                  <c:v>0.1552</c:v>
                </c:pt>
                <c:pt idx="4">
                  <c:v>0.41399999999999998</c:v>
                </c:pt>
                <c:pt idx="5">
                  <c:v>7.3499999999999998E-3</c:v>
                </c:pt>
                <c:pt idx="6">
                  <c:v>7.9600000000000004E-2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0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6E-B542-AFC7-6231406D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FLD_40!$AB$2:$AB$19</c:f>
              <c:numCache>
                <c:formatCode>General</c:formatCode>
                <c:ptCount val="18"/>
                <c:pt idx="0">
                  <c:v>0.2324676628838368</c:v>
                </c:pt>
                <c:pt idx="1">
                  <c:v>7.2978093164729654E-2</c:v>
                </c:pt>
                <c:pt idx="2">
                  <c:v>0.23524851099251676</c:v>
                </c:pt>
                <c:pt idx="3">
                  <c:v>0.16015733089452347</c:v>
                </c:pt>
                <c:pt idx="4">
                  <c:v>0.23459424664357001</c:v>
                </c:pt>
                <c:pt idx="5">
                  <c:v>8.8738755317620058E-3</c:v>
                </c:pt>
                <c:pt idx="6">
                  <c:v>0.10222028691556927</c:v>
                </c:pt>
                <c:pt idx="7">
                  <c:v>5.2775646805848231E-3</c:v>
                </c:pt>
                <c:pt idx="8">
                  <c:v>5.9198846780582261E-3</c:v>
                </c:pt>
                <c:pt idx="9">
                  <c:v>-3.3564383542734359E-3</c:v>
                </c:pt>
                <c:pt idx="10">
                  <c:v>0.11736320489541351</c:v>
                </c:pt>
                <c:pt idx="11">
                  <c:v>4.6293698514244745E-2</c:v>
                </c:pt>
                <c:pt idx="12">
                  <c:v>2.3467044897132486E-2</c:v>
                </c:pt>
                <c:pt idx="13">
                  <c:v>0.18368257520708645</c:v>
                </c:pt>
                <c:pt idx="14">
                  <c:v>0.19544661330063939</c:v>
                </c:pt>
                <c:pt idx="15">
                  <c:v>0.18996173452179452</c:v>
                </c:pt>
                <c:pt idx="16">
                  <c:v>0.15295294234447049</c:v>
                </c:pt>
              </c:numCache>
            </c:numRef>
          </c:xVal>
          <c:yVal>
            <c:numRef>
              <c:f>FLD_40!$D$2:$D$19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5.11E-2</c:v>
                </c:pt>
                <c:pt idx="2">
                  <c:v>0.437</c:v>
                </c:pt>
                <c:pt idx="3">
                  <c:v>0.1552</c:v>
                </c:pt>
                <c:pt idx="4">
                  <c:v>0.41399999999999998</c:v>
                </c:pt>
                <c:pt idx="5">
                  <c:v>7.3499999999999998E-3</c:v>
                </c:pt>
                <c:pt idx="6">
                  <c:v>7.9600000000000004E-2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0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F-5548-B64C-65BE7D846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FLD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FCT_40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919730005387438"/>
                  <c:y val="2.590197014770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FLD_40!$AE$2:$AE$19</c:f>
              <c:numCache>
                <c:formatCode>General</c:formatCode>
                <c:ptCount val="18"/>
                <c:pt idx="0">
                  <c:v>0.41843806989922383</c:v>
                </c:pt>
                <c:pt idx="1">
                  <c:v>4.9647666474120888E-2</c:v>
                </c:pt>
                <c:pt idx="2">
                  <c:v>0.42572123876525081</c:v>
                </c:pt>
                <c:pt idx="3">
                  <c:v>0.1827761175160848</c:v>
                </c:pt>
                <c:pt idx="4">
                  <c:v>0.42521104824929945</c:v>
                </c:pt>
                <c:pt idx="5">
                  <c:v>3.070960096342612E-3</c:v>
                </c:pt>
                <c:pt idx="6">
                  <c:v>6.696380024304327E-2</c:v>
                </c:pt>
                <c:pt idx="7">
                  <c:v>1.6013067162711947E-2</c:v>
                </c:pt>
                <c:pt idx="8">
                  <c:v>1.3360501165263716E-2</c:v>
                </c:pt>
                <c:pt idx="9">
                  <c:v>4.035458366518585E-3</c:v>
                </c:pt>
                <c:pt idx="10">
                  <c:v>9.7840607886140074E-2</c:v>
                </c:pt>
                <c:pt idx="11">
                  <c:v>3.4383828207056766E-2</c:v>
                </c:pt>
                <c:pt idx="12">
                  <c:v>2.4257172617826672E-2</c:v>
                </c:pt>
                <c:pt idx="13">
                  <c:v>0.24945102326807966</c:v>
                </c:pt>
                <c:pt idx="14">
                  <c:v>0.28641459106032929</c:v>
                </c:pt>
                <c:pt idx="15">
                  <c:v>0.27023567525388625</c:v>
                </c:pt>
                <c:pt idx="16">
                  <c:v>0.16584126592616344</c:v>
                </c:pt>
              </c:numCache>
            </c:numRef>
          </c:xVal>
          <c:yVal>
            <c:numRef>
              <c:f>FLD_40!$D$2:$D$19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5.11E-2</c:v>
                </c:pt>
                <c:pt idx="2">
                  <c:v>0.437</c:v>
                </c:pt>
                <c:pt idx="3">
                  <c:v>0.1552</c:v>
                </c:pt>
                <c:pt idx="4">
                  <c:v>0.41399999999999998</c:v>
                </c:pt>
                <c:pt idx="5">
                  <c:v>7.3499999999999998E-3</c:v>
                </c:pt>
                <c:pt idx="6">
                  <c:v>7.9600000000000004E-2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0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B-F043-9562-78A45366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25951"/>
        <c:axId val="766774175"/>
      </c:scatterChart>
      <c:valAx>
        <c:axId val="7674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4175"/>
        <c:crosses val="autoZero"/>
        <c:crossBetween val="midCat"/>
      </c:valAx>
      <c:valAx>
        <c:axId val="76677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  <a:r>
                  <a:rPr lang="en-US" baseline="0"/>
                  <a:t> (S/m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BCT_8B!$Z$2:$Z$19</c:f>
              <c:numCache>
                <c:formatCode>General</c:formatCode>
                <c:ptCount val="18"/>
                <c:pt idx="0">
                  <c:v>0.29991929209247109</c:v>
                </c:pt>
                <c:pt idx="1">
                  <c:v>0.29739393811559001</c:v>
                </c:pt>
                <c:pt idx="2">
                  <c:v>0.29736305970301391</c:v>
                </c:pt>
                <c:pt idx="3">
                  <c:v>0.22926199137684555</c:v>
                </c:pt>
                <c:pt idx="4">
                  <c:v>0.20592594382016799</c:v>
                </c:pt>
                <c:pt idx="5">
                  <c:v>0.22445411789993047</c:v>
                </c:pt>
                <c:pt idx="6">
                  <c:v>4.5566210663234186E-2</c:v>
                </c:pt>
                <c:pt idx="7">
                  <c:v>0.27081095889310641</c:v>
                </c:pt>
                <c:pt idx="8">
                  <c:v>-9.5400335018415772E-2</c:v>
                </c:pt>
                <c:pt idx="9">
                  <c:v>2.1623223899013916E-2</c:v>
                </c:pt>
                <c:pt idx="10">
                  <c:v>0.33299852517289291</c:v>
                </c:pt>
                <c:pt idx="11">
                  <c:v>0.27096488989150452</c:v>
                </c:pt>
                <c:pt idx="12">
                  <c:v>4.374971707435199E-3</c:v>
                </c:pt>
                <c:pt idx="13">
                  <c:v>0.23999396477305185</c:v>
                </c:pt>
                <c:pt idx="14">
                  <c:v>0.25279378100039784</c:v>
                </c:pt>
                <c:pt idx="15">
                  <c:v>0.26287909649499597</c:v>
                </c:pt>
                <c:pt idx="16">
                  <c:v>0.25572636951476402</c:v>
                </c:pt>
              </c:numCache>
            </c:numRef>
          </c:xVal>
          <c:yVal>
            <c:numRef>
              <c:f>BCT_8B!$D$2:$D$19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1D-5A4C-97A6-2325588876DD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BCT_8B!$Y$2:$Y$19</c:f>
              <c:numCache>
                <c:formatCode>General</c:formatCode>
                <c:ptCount val="18"/>
                <c:pt idx="0">
                  <c:v>0.29371196450301335</c:v>
                </c:pt>
                <c:pt idx="1">
                  <c:v>0.29181030468259461</c:v>
                </c:pt>
                <c:pt idx="2">
                  <c:v>0.29218116146761552</c:v>
                </c:pt>
                <c:pt idx="3">
                  <c:v>0.23861954534978513</c:v>
                </c:pt>
                <c:pt idx="4">
                  <c:v>0.21608969226928826</c:v>
                </c:pt>
                <c:pt idx="5">
                  <c:v>0.23046033302453728</c:v>
                </c:pt>
                <c:pt idx="6">
                  <c:v>4.2099191268142627E-2</c:v>
                </c:pt>
                <c:pt idx="7">
                  <c:v>0.25558250124398468</c:v>
                </c:pt>
                <c:pt idx="8">
                  <c:v>-0.106857783880661</c:v>
                </c:pt>
                <c:pt idx="9">
                  <c:v>2.843315686302525E-2</c:v>
                </c:pt>
                <c:pt idx="10">
                  <c:v>0.32015992257171055</c:v>
                </c:pt>
                <c:pt idx="11">
                  <c:v>0.27132216588569452</c:v>
                </c:pt>
                <c:pt idx="12">
                  <c:v>2.2983628121603455E-2</c:v>
                </c:pt>
                <c:pt idx="13">
                  <c:v>0.23749732147535363</c:v>
                </c:pt>
                <c:pt idx="14">
                  <c:v>0.25802121172582665</c:v>
                </c:pt>
                <c:pt idx="15">
                  <c:v>0.26514960507487989</c:v>
                </c:pt>
                <c:pt idx="16">
                  <c:v>0.25938607835360539</c:v>
                </c:pt>
              </c:numCache>
            </c:numRef>
          </c:xVal>
          <c:yVal>
            <c:numRef>
              <c:f>BCT_8B!$D$2:$D$19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D-5A4C-97A6-232558887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Dalton_Raw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BCT_8B!$AA$2:$AA$19</c:f>
              <c:numCache>
                <c:formatCode>General</c:formatCode>
                <c:ptCount val="18"/>
                <c:pt idx="0">
                  <c:v>-0.32748820013974217</c:v>
                </c:pt>
                <c:pt idx="1">
                  <c:v>-0.32598540015250255</c:v>
                </c:pt>
                <c:pt idx="2">
                  <c:v>-0.32627847232335716</c:v>
                </c:pt>
                <c:pt idx="3">
                  <c:v>-0.28395103018352935</c:v>
                </c:pt>
                <c:pt idx="4">
                  <c:v>-0.26614665604766202</c:v>
                </c:pt>
                <c:pt idx="5">
                  <c:v>-0.27750315551813942</c:v>
                </c:pt>
                <c:pt idx="6">
                  <c:v>-0.12864944446606413</c:v>
                </c:pt>
                <c:pt idx="7">
                  <c:v>-0.29735612484222401</c:v>
                </c:pt>
                <c:pt idx="8">
                  <c:v>-1.0935151957331064E-2</c:v>
                </c:pt>
                <c:pt idx="9">
                  <c:v>-0.11784976509696199</c:v>
                </c:pt>
                <c:pt idx="10">
                  <c:v>-0.34838888417449271</c:v>
                </c:pt>
                <c:pt idx="11">
                  <c:v>-0.30979450502396927</c:v>
                </c:pt>
                <c:pt idx="12">
                  <c:v>-0.1135432368550878</c:v>
                </c:pt>
                <c:pt idx="13">
                  <c:v>-0.28306418490969676</c:v>
                </c:pt>
                <c:pt idx="14">
                  <c:v>-0.29928333287472392</c:v>
                </c:pt>
                <c:pt idx="15">
                  <c:v>-0.30491659562706908</c:v>
                </c:pt>
                <c:pt idx="16">
                  <c:v>-0.30036192828321184</c:v>
                </c:pt>
              </c:numCache>
            </c:numRef>
          </c:xVal>
          <c:yVal>
            <c:numRef>
              <c:f>BCT_8B!$D$4:$D$19</c:f>
              <c:numCache>
                <c:formatCode>General</c:formatCode>
                <c:ptCount val="16"/>
                <c:pt idx="0">
                  <c:v>0.41399999999999998</c:v>
                </c:pt>
                <c:pt idx="1">
                  <c:v>0.1552</c:v>
                </c:pt>
                <c:pt idx="2">
                  <c:v>7.9600000000000004E-2</c:v>
                </c:pt>
                <c:pt idx="3">
                  <c:v>5.11E-2</c:v>
                </c:pt>
                <c:pt idx="4">
                  <c:v>7.0000000000000001E-3</c:v>
                </c:pt>
                <c:pt idx="5">
                  <c:v>7.3499999999999998E-3</c:v>
                </c:pt>
                <c:pt idx="6">
                  <c:v>0</c:v>
                </c:pt>
                <c:pt idx="7">
                  <c:v>1.7999999999999999E-2</c:v>
                </c:pt>
                <c:pt idx="8">
                  <c:v>0.59199999999999997</c:v>
                </c:pt>
                <c:pt idx="9">
                  <c:v>0.316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0.24099999999999999</c:v>
                </c:pt>
                <c:pt idx="13">
                  <c:v>0.28199999999999997</c:v>
                </c:pt>
                <c:pt idx="14">
                  <c:v>0.25800000000000001</c:v>
                </c:pt>
                <c:pt idx="15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5-D242-B4CB-E6190C2AC53F}"/>
            </c:ext>
          </c:extLst>
        </c:ser>
        <c:ser>
          <c:idx val="1"/>
          <c:order val="1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BCT_8B!$AB$2:$AB$19</c:f>
              <c:numCache>
                <c:formatCode>General</c:formatCode>
                <c:ptCount val="18"/>
                <c:pt idx="0">
                  <c:v>-0.21734588224468002</c:v>
                </c:pt>
                <c:pt idx="1">
                  <c:v>-0.21604011328119088</c:v>
                </c:pt>
                <c:pt idx="2">
                  <c:v>-0.21602414717380444</c:v>
                </c:pt>
                <c:pt idx="3">
                  <c:v>-0.18081155431955939</c:v>
                </c:pt>
                <c:pt idx="4">
                  <c:v>-0.16874533037274894</c:v>
                </c:pt>
                <c:pt idx="5">
                  <c:v>-0.17832557729455167</c:v>
                </c:pt>
                <c:pt idx="6">
                  <c:v>-8.5829127548648576E-2</c:v>
                </c:pt>
                <c:pt idx="7">
                  <c:v>-0.20229501871481853</c:v>
                </c:pt>
                <c:pt idx="8">
                  <c:v>-1.2940438704836426E-2</c:v>
                </c:pt>
                <c:pt idx="9">
                  <c:v>-7.3449077347305394E-2</c:v>
                </c:pt>
                <c:pt idx="10">
                  <c:v>-0.23444995410465086</c:v>
                </c:pt>
                <c:pt idx="11">
                  <c:v>-0.20237461085202671</c:v>
                </c:pt>
                <c:pt idx="12">
                  <c:v>-6.4530631619545489E-2</c:v>
                </c:pt>
                <c:pt idx="13">
                  <c:v>-0.18636066858474618</c:v>
                </c:pt>
                <c:pt idx="14">
                  <c:v>-0.19297898939087521</c:v>
                </c:pt>
                <c:pt idx="15">
                  <c:v>-0.19819374030516346</c:v>
                </c:pt>
                <c:pt idx="16">
                  <c:v>-0.19449532456598334</c:v>
                </c:pt>
              </c:numCache>
            </c:numRef>
          </c:xVal>
          <c:yVal>
            <c:numRef>
              <c:f>BCT_8B!$D$2:$D$19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5-D242-B4CB-E6190C2A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20841553657844"/>
                  <c:y val="5.82276713629803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BCT_8B!$AE$2:$AE$19</c:f>
              <c:numCache>
                <c:formatCode>General</c:formatCode>
                <c:ptCount val="18"/>
                <c:pt idx="0">
                  <c:v>-0.10941711285025546</c:v>
                </c:pt>
                <c:pt idx="1">
                  <c:v>-9.6743812880184743E-2</c:v>
                </c:pt>
                <c:pt idx="2">
                  <c:v>-9.6865863789890039E-2</c:v>
                </c:pt>
                <c:pt idx="3">
                  <c:v>0.13905346985850264</c:v>
                </c:pt>
                <c:pt idx="4">
                  <c:v>0.21956766876280875</c:v>
                </c:pt>
                <c:pt idx="5">
                  <c:v>0.18157498037110131</c:v>
                </c:pt>
                <c:pt idx="6">
                  <c:v>0.2214669162847609</c:v>
                </c:pt>
                <c:pt idx="7">
                  <c:v>2.9508741218526868E-3</c:v>
                </c:pt>
                <c:pt idx="8">
                  <c:v>0.48482851476559907</c:v>
                </c:pt>
                <c:pt idx="9">
                  <c:v>0.2864726592135316</c:v>
                </c:pt>
                <c:pt idx="10">
                  <c:v>-0.17375854111905409</c:v>
                </c:pt>
                <c:pt idx="11">
                  <c:v>-8.6214367585788487E-3</c:v>
                </c:pt>
                <c:pt idx="12">
                  <c:v>1.5105075344312935E-2</c:v>
                </c:pt>
                <c:pt idx="13">
                  <c:v>0.11513857382368808</c:v>
                </c:pt>
                <c:pt idx="14">
                  <c:v>5.7408887185228075E-2</c:v>
                </c:pt>
                <c:pt idx="15">
                  <c:v>-4.4697702970801778E-3</c:v>
                </c:pt>
                <c:pt idx="16">
                  <c:v>2.3268417573280686E-2</c:v>
                </c:pt>
              </c:numCache>
            </c:numRef>
          </c:xVal>
          <c:yVal>
            <c:numRef>
              <c:f>BCT_8B!$D$2:$D$19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5-DA4B-BA75-44EC6518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25951"/>
        <c:axId val="766774175"/>
      </c:scatterChart>
      <c:valAx>
        <c:axId val="7674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4175"/>
        <c:crosses val="autoZero"/>
        <c:crossBetween val="midCat"/>
      </c:valAx>
      <c:valAx>
        <c:axId val="76677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  <a:r>
                  <a:rPr lang="en-US" baseline="0"/>
                  <a:t> (S/m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BCT_8!$Z$2:$Z$19</c:f>
              <c:numCache>
                <c:formatCode>General</c:formatCode>
                <c:ptCount val="18"/>
                <c:pt idx="0">
                  <c:v>0.2956734621777567</c:v>
                </c:pt>
                <c:pt idx="1">
                  <c:v>0.29316221771663808</c:v>
                </c:pt>
                <c:pt idx="2">
                  <c:v>0.29313151182619268</c:v>
                </c:pt>
                <c:pt idx="3">
                  <c:v>0.22541093396028669</c:v>
                </c:pt>
                <c:pt idx="4">
                  <c:v>0.20220526825654891</c:v>
                </c:pt>
                <c:pt idx="5">
                  <c:v>0.22062992276375984</c:v>
                </c:pt>
                <c:pt idx="6">
                  <c:v>4.2741487985173354E-2</c:v>
                </c:pt>
                <c:pt idx="7">
                  <c:v>0.26672776142115273</c:v>
                </c:pt>
                <c:pt idx="8">
                  <c:v>-9.7437457337681707E-2</c:v>
                </c:pt>
                <c:pt idx="9">
                  <c:v>1.8932274130510712E-2</c:v>
                </c:pt>
                <c:pt idx="10">
                  <c:v>0.32856787682684918</c:v>
                </c:pt>
                <c:pt idx="11">
                  <c:v>0.26688083238493066</c:v>
                </c:pt>
                <c:pt idx="12">
                  <c:v>1.7803904038679874E-3</c:v>
                </c:pt>
                <c:pt idx="13">
                  <c:v>0.2360829462780927</c:v>
                </c:pt>
                <c:pt idx="14">
                  <c:v>0.24881124809182795</c:v>
                </c:pt>
                <c:pt idx="15">
                  <c:v>0.25884021547869807</c:v>
                </c:pt>
                <c:pt idx="16">
                  <c:v>0.25172745181251877</c:v>
                </c:pt>
                <c:pt idx="17">
                  <c:v>0.21948165582287563</c:v>
                </c:pt>
              </c:numCache>
            </c:numRef>
          </c:xVal>
          <c:yVal>
            <c:numRef>
              <c:f>BCT_8!$D$2:$D$19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4-104A-A7DB-D217DFA8CACA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BCT_8!$Y$2:$Y$19</c:f>
              <c:numCache>
                <c:formatCode>General</c:formatCode>
                <c:ptCount val="18"/>
                <c:pt idx="0">
                  <c:v>0.28861425584281186</c:v>
                </c:pt>
                <c:pt idx="1">
                  <c:v>0.2867305526237669</c:v>
                </c:pt>
                <c:pt idx="2">
                  <c:v>0.28709790755878084</c:v>
                </c:pt>
                <c:pt idx="3">
                  <c:v>0.23404205202927217</c:v>
                </c:pt>
                <c:pt idx="4">
                  <c:v>0.21172493920149141</c:v>
                </c:pt>
                <c:pt idx="5">
                  <c:v>0.22595988383235641</c:v>
                </c:pt>
                <c:pt idx="6">
                  <c:v>3.9377359839512488E-2</c:v>
                </c:pt>
                <c:pt idx="7">
                  <c:v>0.25084483362003296</c:v>
                </c:pt>
                <c:pt idx="8">
                  <c:v>-0.10817307508802256</c:v>
                </c:pt>
                <c:pt idx="9">
                  <c:v>2.5840368247172674E-2</c:v>
                </c:pt>
                <c:pt idx="10">
                  <c:v>0.31481247658462741</c:v>
                </c:pt>
                <c:pt idx="11">
                  <c:v>0.26643587500079302</c:v>
                </c:pt>
                <c:pt idx="12">
                  <c:v>2.0442297192469538E-2</c:v>
                </c:pt>
                <c:pt idx="13">
                  <c:v>0.23293042485912438</c:v>
                </c:pt>
                <c:pt idx="14">
                  <c:v>0.25326051634921476</c:v>
                </c:pt>
                <c:pt idx="15">
                  <c:v>0.26032159917488729</c:v>
                </c:pt>
                <c:pt idx="16">
                  <c:v>0.25461249509573303</c:v>
                </c:pt>
                <c:pt idx="17">
                  <c:v>0.22847523803597344</c:v>
                </c:pt>
              </c:numCache>
            </c:numRef>
          </c:xVal>
          <c:yVal>
            <c:numRef>
              <c:f>BCT_8!$D$2:$D$19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74-104A-A7DB-D217DFA8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77551398909383E-2"/>
                  <c:y val="-0.7057937345923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BCT_8!$AB$2:$AB$19</c:f>
              <c:numCache>
                <c:formatCode>General</c:formatCode>
                <c:ptCount val="18"/>
                <c:pt idx="0">
                  <c:v>-0.21734588224468002</c:v>
                </c:pt>
                <c:pt idx="1">
                  <c:v>-0.21604011328119088</c:v>
                </c:pt>
                <c:pt idx="2">
                  <c:v>-0.21602414717380444</c:v>
                </c:pt>
                <c:pt idx="3">
                  <c:v>-0.18081155431955939</c:v>
                </c:pt>
                <c:pt idx="4">
                  <c:v>-0.16874533037274894</c:v>
                </c:pt>
                <c:pt idx="5">
                  <c:v>-0.17832557729455167</c:v>
                </c:pt>
                <c:pt idx="6">
                  <c:v>-8.5829127548648576E-2</c:v>
                </c:pt>
                <c:pt idx="7">
                  <c:v>-0.20229501871481853</c:v>
                </c:pt>
                <c:pt idx="8">
                  <c:v>-1.2940438704836426E-2</c:v>
                </c:pt>
                <c:pt idx="9">
                  <c:v>-7.3449077347305394E-2</c:v>
                </c:pt>
                <c:pt idx="10">
                  <c:v>-0.23444995410465086</c:v>
                </c:pt>
                <c:pt idx="11">
                  <c:v>-0.20237461085202671</c:v>
                </c:pt>
                <c:pt idx="12">
                  <c:v>-6.4530631619545489E-2</c:v>
                </c:pt>
                <c:pt idx="13">
                  <c:v>-0.18636066858474618</c:v>
                </c:pt>
                <c:pt idx="14">
                  <c:v>-0.19297898939087521</c:v>
                </c:pt>
                <c:pt idx="15">
                  <c:v>-0.19819374030516346</c:v>
                </c:pt>
                <c:pt idx="16">
                  <c:v>-0.19449532456598334</c:v>
                </c:pt>
                <c:pt idx="17">
                  <c:v>-0.17772851422226946</c:v>
                </c:pt>
              </c:numCache>
            </c:numRef>
          </c:xVal>
          <c:yVal>
            <c:numRef>
              <c:f>BCT_8!$D$2:$D$19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1.7999999999999999E-2</c:v>
                </c:pt>
                <c:pt idx="10">
                  <c:v>0.59199999999999997</c:v>
                </c:pt>
                <c:pt idx="11">
                  <c:v>0.316</c:v>
                </c:pt>
                <c:pt idx="12">
                  <c:v>0.106</c:v>
                </c:pt>
                <c:pt idx="13">
                  <c:v>2.8400000000000002E-2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E-2E40-BB7A-0D2C494C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BUR_20!$Z$2:$Z$19</c:f>
              <c:numCache>
                <c:formatCode>General</c:formatCode>
                <c:ptCount val="18"/>
                <c:pt idx="0">
                  <c:v>0.3461210437277944</c:v>
                </c:pt>
                <c:pt idx="1">
                  <c:v>0.35058668359960543</c:v>
                </c:pt>
                <c:pt idx="2">
                  <c:v>0.22503248400379433</c:v>
                </c:pt>
                <c:pt idx="3">
                  <c:v>0.3397918108669431</c:v>
                </c:pt>
                <c:pt idx="4">
                  <c:v>0.13436574130016302</c:v>
                </c:pt>
                <c:pt idx="5">
                  <c:v>-2.7898119895094751E-2</c:v>
                </c:pt>
                <c:pt idx="6">
                  <c:v>8.1297996126010713E-2</c:v>
                </c:pt>
                <c:pt idx="7">
                  <c:v>-1.9160671295783218E-2</c:v>
                </c:pt>
                <c:pt idx="8">
                  <c:v>-5.1301675592195971E-2</c:v>
                </c:pt>
                <c:pt idx="9">
                  <c:v>0.31269983945220636</c:v>
                </c:pt>
                <c:pt idx="10">
                  <c:v>0.14412694478879476</c:v>
                </c:pt>
                <c:pt idx="11">
                  <c:v>2.5477397447515586E-2</c:v>
                </c:pt>
                <c:pt idx="12">
                  <c:v>2.6918761827341084E-3</c:v>
                </c:pt>
                <c:pt idx="13">
                  <c:v>0.28367209488801381</c:v>
                </c:pt>
                <c:pt idx="14">
                  <c:v>0.30554082059150245</c:v>
                </c:pt>
                <c:pt idx="15">
                  <c:v>0.2983844298482452</c:v>
                </c:pt>
                <c:pt idx="16">
                  <c:v>0.22992130395975044</c:v>
                </c:pt>
              </c:numCache>
            </c:numRef>
          </c:xVal>
          <c:yVal>
            <c:numRef>
              <c:f>BUR_20!$D$2:$D$19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0.1552</c:v>
                </c:pt>
                <c:pt idx="3">
                  <c:v>0.41399999999999998</c:v>
                </c:pt>
                <c:pt idx="4">
                  <c:v>7.9600000000000004E-2</c:v>
                </c:pt>
                <c:pt idx="5">
                  <c:v>7.0000000000000001E-3</c:v>
                </c:pt>
                <c:pt idx="6">
                  <c:v>5.11E-2</c:v>
                </c:pt>
                <c:pt idx="7">
                  <c:v>0</c:v>
                </c:pt>
                <c:pt idx="8">
                  <c:v>7.3499999999999998E-3</c:v>
                </c:pt>
                <c:pt idx="9">
                  <c:v>0.316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0-304E-9B69-4282C695C7EC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BUR_20!$Y$2:$Y$19</c:f>
              <c:numCache>
                <c:formatCode>General</c:formatCode>
                <c:ptCount val="18"/>
                <c:pt idx="0">
                  <c:v>0.34582804608807394</c:v>
                </c:pt>
                <c:pt idx="1">
                  <c:v>0.35016937142863414</c:v>
                </c:pt>
                <c:pt idx="2">
                  <c:v>0.2205611752074953</c:v>
                </c:pt>
                <c:pt idx="3">
                  <c:v>0.34074631735433047</c:v>
                </c:pt>
                <c:pt idx="4">
                  <c:v>0.12548438972210318</c:v>
                </c:pt>
                <c:pt idx="5">
                  <c:v>-1.4612226050787887E-2</c:v>
                </c:pt>
                <c:pt idx="6">
                  <c:v>6.8762451922518272E-2</c:v>
                </c:pt>
                <c:pt idx="7">
                  <c:v>1.5481064833529148E-2</c:v>
                </c:pt>
                <c:pt idx="8">
                  <c:v>-8.0049272996065457E-2</c:v>
                </c:pt>
                <c:pt idx="9">
                  <c:v>0.31231944556625379</c:v>
                </c:pt>
                <c:pt idx="10">
                  <c:v>0.16207195062390028</c:v>
                </c:pt>
                <c:pt idx="11">
                  <c:v>7.9106644180221182E-3</c:v>
                </c:pt>
                <c:pt idx="12">
                  <c:v>1.7253436096026468E-2</c:v>
                </c:pt>
                <c:pt idx="13">
                  <c:v>0.28173466195724284</c:v>
                </c:pt>
                <c:pt idx="14">
                  <c:v>0.30463699689074097</c:v>
                </c:pt>
                <c:pt idx="15">
                  <c:v>0.29719899477753842</c:v>
                </c:pt>
                <c:pt idx="16">
                  <c:v>0.2258525321604439</c:v>
                </c:pt>
              </c:numCache>
            </c:numRef>
          </c:xVal>
          <c:yVal>
            <c:numRef>
              <c:f>BUR_20!$D$2:$D$19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0.1552</c:v>
                </c:pt>
                <c:pt idx="3">
                  <c:v>0.41399999999999998</c:v>
                </c:pt>
                <c:pt idx="4">
                  <c:v>7.9600000000000004E-2</c:v>
                </c:pt>
                <c:pt idx="5">
                  <c:v>7.0000000000000001E-3</c:v>
                </c:pt>
                <c:pt idx="6">
                  <c:v>5.11E-2</c:v>
                </c:pt>
                <c:pt idx="7">
                  <c:v>0</c:v>
                </c:pt>
                <c:pt idx="8">
                  <c:v>7.3499999999999998E-3</c:v>
                </c:pt>
                <c:pt idx="9">
                  <c:v>0.316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E0-304E-9B69-4282C695C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Dalton_Raw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BUR_20!$AA$2:$AA$19</c:f>
              <c:numCache>
                <c:formatCode>General</c:formatCode>
                <c:ptCount val="18"/>
                <c:pt idx="0">
                  <c:v>0.27167616671694483</c:v>
                </c:pt>
                <c:pt idx="1">
                  <c:v>0.27513169887366923</c:v>
                </c:pt>
                <c:pt idx="2">
                  <c:v>0.1719684354267057</c:v>
                </c:pt>
                <c:pt idx="3">
                  <c:v>0.26763130122687429</c:v>
                </c:pt>
                <c:pt idx="4">
                  <c:v>9.6290879880876659E-2</c:v>
                </c:pt>
                <c:pt idx="5">
                  <c:v>-1.522077217812765E-2</c:v>
                </c:pt>
                <c:pt idx="6">
                  <c:v>5.1142344656632317E-2</c:v>
                </c:pt>
                <c:pt idx="7">
                  <c:v>8.7323587657513711E-3</c:v>
                </c:pt>
                <c:pt idx="8">
                  <c:v>-6.7306207436318252E-2</c:v>
                </c:pt>
                <c:pt idx="9">
                  <c:v>0.24500457738725875</c:v>
                </c:pt>
                <c:pt idx="10">
                  <c:v>0.12541320620161212</c:v>
                </c:pt>
                <c:pt idx="11">
                  <c:v>2.7066039505896393E-3</c:v>
                </c:pt>
                <c:pt idx="12">
                  <c:v>1.0143099820791352E-2</c:v>
                </c:pt>
                <c:pt idx="13">
                  <c:v>0.22066023666716036</c:v>
                </c:pt>
                <c:pt idx="14">
                  <c:v>0.23888963635932053</c:v>
                </c:pt>
                <c:pt idx="15">
                  <c:v>0.23296926562740974</c:v>
                </c:pt>
                <c:pt idx="16">
                  <c:v>0.17618015711749743</c:v>
                </c:pt>
              </c:numCache>
            </c:numRef>
          </c:xVal>
          <c:yVal>
            <c:numRef>
              <c:f>BUR_20!$D$4:$D$19</c:f>
              <c:numCache>
                <c:formatCode>General</c:formatCode>
                <c:ptCount val="16"/>
                <c:pt idx="0">
                  <c:v>0.1552</c:v>
                </c:pt>
                <c:pt idx="1">
                  <c:v>0.41399999999999998</c:v>
                </c:pt>
                <c:pt idx="2">
                  <c:v>7.9600000000000004E-2</c:v>
                </c:pt>
                <c:pt idx="3">
                  <c:v>7.0000000000000001E-3</c:v>
                </c:pt>
                <c:pt idx="4">
                  <c:v>5.11E-2</c:v>
                </c:pt>
                <c:pt idx="5">
                  <c:v>0</c:v>
                </c:pt>
                <c:pt idx="6">
                  <c:v>7.3499999999999998E-3</c:v>
                </c:pt>
                <c:pt idx="7">
                  <c:v>0.316</c:v>
                </c:pt>
                <c:pt idx="8">
                  <c:v>0.106</c:v>
                </c:pt>
                <c:pt idx="9">
                  <c:v>2.8400000000000002E-2</c:v>
                </c:pt>
                <c:pt idx="10">
                  <c:v>1.7999999999999999E-2</c:v>
                </c:pt>
                <c:pt idx="11">
                  <c:v>0.24099999999999999</c:v>
                </c:pt>
                <c:pt idx="12">
                  <c:v>0.28199999999999997</c:v>
                </c:pt>
                <c:pt idx="13">
                  <c:v>0.25800000000000001</c:v>
                </c:pt>
                <c:pt idx="14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D-9832-FAB773B4A765}"/>
            </c:ext>
          </c:extLst>
        </c:ser>
        <c:ser>
          <c:idx val="1"/>
          <c:order val="1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BUR_20!$AB$2:$AB$19</c:f>
              <c:numCache>
                <c:formatCode>General</c:formatCode>
                <c:ptCount val="18"/>
                <c:pt idx="0">
                  <c:v>0.31545029039493944</c:v>
                </c:pt>
                <c:pt idx="1">
                  <c:v>0.31933618664001651</c:v>
                </c:pt>
                <c:pt idx="2">
                  <c:v>0.21008183412431322</c:v>
                </c:pt>
                <c:pt idx="3">
                  <c:v>0.30994273875302292</c:v>
                </c:pt>
                <c:pt idx="4">
                  <c:v>0.13118573745305862</c:v>
                </c:pt>
                <c:pt idx="5">
                  <c:v>-1.0012511181050067E-2</c:v>
                </c:pt>
                <c:pt idx="6">
                  <c:v>8.5007416400197669E-2</c:v>
                </c:pt>
                <c:pt idx="7">
                  <c:v>-2.4093860571584012E-3</c:v>
                </c:pt>
                <c:pt idx="8">
                  <c:v>-3.0377742551114896E-2</c:v>
                </c:pt>
                <c:pt idx="9">
                  <c:v>0.28636793357072177</c:v>
                </c:pt>
                <c:pt idx="10">
                  <c:v>0.13967971033773835</c:v>
                </c:pt>
                <c:pt idx="11">
                  <c:v>3.6433626074657818E-2</c:v>
                </c:pt>
                <c:pt idx="12">
                  <c:v>1.6606193933554472E-2</c:v>
                </c:pt>
                <c:pt idx="13">
                  <c:v>0.26110866349005857</c:v>
                </c:pt>
                <c:pt idx="14">
                  <c:v>0.28013832139692063</c:v>
                </c:pt>
                <c:pt idx="15">
                  <c:v>0.27391099614996789</c:v>
                </c:pt>
                <c:pt idx="16">
                  <c:v>0.21433597186381781</c:v>
                </c:pt>
              </c:numCache>
            </c:numRef>
          </c:xVal>
          <c:yVal>
            <c:numRef>
              <c:f>BUR_20!$D$2:$D$19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0.1552</c:v>
                </c:pt>
                <c:pt idx="3">
                  <c:v>0.41399999999999998</c:v>
                </c:pt>
                <c:pt idx="4">
                  <c:v>7.9600000000000004E-2</c:v>
                </c:pt>
                <c:pt idx="5">
                  <c:v>7.0000000000000001E-3</c:v>
                </c:pt>
                <c:pt idx="6">
                  <c:v>5.11E-2</c:v>
                </c:pt>
                <c:pt idx="7">
                  <c:v>0</c:v>
                </c:pt>
                <c:pt idx="8">
                  <c:v>7.3499999999999998E-3</c:v>
                </c:pt>
                <c:pt idx="9">
                  <c:v>0.316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A-374D-9832-FAB773B4A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HydraGO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First_Test!$Z$3:$Z$11</c:f>
              <c:numCache>
                <c:formatCode>General</c:formatCode>
                <c:ptCount val="9"/>
                <c:pt idx="0">
                  <c:v>1E-3</c:v>
                </c:pt>
                <c:pt idx="1">
                  <c:v>8.9999999999999993E-3</c:v>
                </c:pt>
                <c:pt idx="2">
                  <c:v>0.113</c:v>
                </c:pt>
                <c:pt idx="3">
                  <c:v>0.23499999999999999</c:v>
                </c:pt>
                <c:pt idx="4">
                  <c:v>0.42699999999999999</c:v>
                </c:pt>
                <c:pt idx="5">
                  <c:v>7.0000000000000001E-3</c:v>
                </c:pt>
                <c:pt idx="6">
                  <c:v>0.03</c:v>
                </c:pt>
                <c:pt idx="7">
                  <c:v>5.3999999999999999E-2</c:v>
                </c:pt>
                <c:pt idx="8">
                  <c:v>0.127</c:v>
                </c:pt>
              </c:numCache>
            </c:numRef>
          </c:xVal>
          <c:yVal>
            <c:numRef>
              <c:f>First_Test!$U$3:$U$11</c:f>
              <c:numCache>
                <c:formatCode>General</c:formatCode>
                <c:ptCount val="9"/>
                <c:pt idx="0">
                  <c:v>-1.7512863372759441E-3</c:v>
                </c:pt>
                <c:pt idx="1">
                  <c:v>-0.19079587653269817</c:v>
                </c:pt>
                <c:pt idx="2">
                  <c:v>0.26934978751296396</c:v>
                </c:pt>
                <c:pt idx="3">
                  <c:v>0.51151045827774477</c:v>
                </c:pt>
                <c:pt idx="4">
                  <c:v>1.2535809428653815</c:v>
                </c:pt>
                <c:pt idx="5">
                  <c:v>-5.9852053712403826E-2</c:v>
                </c:pt>
                <c:pt idx="6">
                  <c:v>2.9265225909345657E-2</c:v>
                </c:pt>
                <c:pt idx="7">
                  <c:v>0.10133674087207627</c:v>
                </c:pt>
                <c:pt idx="8">
                  <c:v>0.27843956621757709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5-494E-B42F-90E4287BA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05152"/>
        <c:axId val="422006800"/>
      </c:scatterChart>
      <c:valAx>
        <c:axId val="4220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6800"/>
        <c:crosses val="autoZero"/>
        <c:crossBetween val="midCat"/>
      </c:valAx>
      <c:valAx>
        <c:axId val="4220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20841553657844"/>
                  <c:y val="5.82276713629803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BUR_20!$AE$2:$AE$19</c:f>
              <c:numCache>
                <c:formatCode>General</c:formatCode>
                <c:ptCount val="18"/>
                <c:pt idx="0">
                  <c:v>0.40968607673418067</c:v>
                </c:pt>
                <c:pt idx="1">
                  <c:v>0.39810363541331528</c:v>
                </c:pt>
                <c:pt idx="2">
                  <c:v>0.17455949779169666</c:v>
                </c:pt>
                <c:pt idx="3">
                  <c:v>0.4113354327647647</c:v>
                </c:pt>
                <c:pt idx="4">
                  <c:v>7.4039603824086031E-2</c:v>
                </c:pt>
                <c:pt idx="5">
                  <c:v>1.4188330205826549E-2</c:v>
                </c:pt>
                <c:pt idx="6">
                  <c:v>3.5169184571234302E-2</c:v>
                </c:pt>
                <c:pt idx="7">
                  <c:v>-4.4513815214686225E-3</c:v>
                </c:pt>
                <c:pt idx="8">
                  <c:v>1.3635769196720826E-2</c:v>
                </c:pt>
                <c:pt idx="9">
                  <c:v>0.31411485191744681</c:v>
                </c:pt>
                <c:pt idx="10">
                  <c:v>8.091492614115281E-2</c:v>
                </c:pt>
                <c:pt idx="11">
                  <c:v>-3.5653048890624817E-3</c:v>
                </c:pt>
                <c:pt idx="12">
                  <c:v>3.8145835621794522E-2</c:v>
                </c:pt>
                <c:pt idx="13">
                  <c:v>0.25611277155227041</c:v>
                </c:pt>
                <c:pt idx="14">
                  <c:v>0.2983257562764261</c:v>
                </c:pt>
                <c:pt idx="15">
                  <c:v>0.28033418017988154</c:v>
                </c:pt>
                <c:pt idx="16">
                  <c:v>0.17986916056472158</c:v>
                </c:pt>
              </c:numCache>
            </c:numRef>
          </c:xVal>
          <c:yVal>
            <c:numRef>
              <c:f>BUR_20!$D$2:$D$19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0.1552</c:v>
                </c:pt>
                <c:pt idx="3">
                  <c:v>0.41399999999999998</c:v>
                </c:pt>
                <c:pt idx="4">
                  <c:v>7.9600000000000004E-2</c:v>
                </c:pt>
                <c:pt idx="5">
                  <c:v>7.0000000000000001E-3</c:v>
                </c:pt>
                <c:pt idx="6">
                  <c:v>5.11E-2</c:v>
                </c:pt>
                <c:pt idx="7">
                  <c:v>0</c:v>
                </c:pt>
                <c:pt idx="8">
                  <c:v>7.3499999999999998E-3</c:v>
                </c:pt>
                <c:pt idx="9">
                  <c:v>0.316</c:v>
                </c:pt>
                <c:pt idx="10">
                  <c:v>0.106</c:v>
                </c:pt>
                <c:pt idx="11">
                  <c:v>2.8400000000000002E-2</c:v>
                </c:pt>
                <c:pt idx="12">
                  <c:v>1.7999999999999999E-2</c:v>
                </c:pt>
                <c:pt idx="13">
                  <c:v>0.24099999999999999</c:v>
                </c:pt>
                <c:pt idx="14">
                  <c:v>0.28199999999999997</c:v>
                </c:pt>
                <c:pt idx="15">
                  <c:v>0.25800000000000001</c:v>
                </c:pt>
                <c:pt idx="16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C-C742-879A-D75E6779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25951"/>
        <c:axId val="766774175"/>
      </c:scatterChart>
      <c:valAx>
        <c:axId val="7674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4175"/>
        <c:crosses val="autoZero"/>
        <c:crossBetween val="midCat"/>
      </c:valAx>
      <c:valAx>
        <c:axId val="76677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  <a:r>
                  <a:rPr lang="en-US" baseline="0"/>
                  <a:t> (S/m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BUR_8!$Z$2:$Z$19</c:f>
              <c:numCache>
                <c:formatCode>General</c:formatCode>
                <c:ptCount val="18"/>
                <c:pt idx="0">
                  <c:v>0.41440794911702977</c:v>
                </c:pt>
                <c:pt idx="1">
                  <c:v>0.40601601834869749</c:v>
                </c:pt>
                <c:pt idx="2">
                  <c:v>0.39968075715240164</c:v>
                </c:pt>
                <c:pt idx="3">
                  <c:v>0.19434637135183411</c:v>
                </c:pt>
                <c:pt idx="4">
                  <c:v>4.3587489710242233E-2</c:v>
                </c:pt>
                <c:pt idx="5">
                  <c:v>9.3836144720692682E-2</c:v>
                </c:pt>
                <c:pt idx="6">
                  <c:v>-7.495700867227402E-2</c:v>
                </c:pt>
                <c:pt idx="7">
                  <c:v>-5.0246429961967667E-3</c:v>
                </c:pt>
                <c:pt idx="8">
                  <c:v>2.4354625580777261E-2</c:v>
                </c:pt>
                <c:pt idx="9">
                  <c:v>0.5189700011264653</c:v>
                </c:pt>
                <c:pt idx="10">
                  <c:v>0.32672313863899122</c:v>
                </c:pt>
                <c:pt idx="11">
                  <c:v>0.14132447033860385</c:v>
                </c:pt>
                <c:pt idx="12">
                  <c:v>-6.3450191677838358E-3</c:v>
                </c:pt>
                <c:pt idx="13">
                  <c:v>2.1468854584075058E-2</c:v>
                </c:pt>
                <c:pt idx="14">
                  <c:v>0.2779513358577691</c:v>
                </c:pt>
                <c:pt idx="15">
                  <c:v>0.30998177460721638</c:v>
                </c:pt>
                <c:pt idx="16">
                  <c:v>0.28862449290456832</c:v>
                </c:pt>
                <c:pt idx="17">
                  <c:v>0.19840324679688934</c:v>
                </c:pt>
              </c:numCache>
            </c:numRef>
          </c:xVal>
          <c:yVal>
            <c:numRef>
              <c:f>BUR_8!$D$2:$D$19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5.11E-2</c:v>
                </c:pt>
                <c:pt idx="5">
                  <c:v>7.9600000000000004E-2</c:v>
                </c:pt>
                <c:pt idx="6">
                  <c:v>7.3499999999999998E-3</c:v>
                </c:pt>
                <c:pt idx="7">
                  <c:v>7.0000000000000001E-3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8047-9290-5F4B33BB29F6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BUR_8!$Y$2:$Y$19</c:f>
              <c:numCache>
                <c:formatCode>General</c:formatCode>
                <c:ptCount val="18"/>
                <c:pt idx="0">
                  <c:v>0.41097750762080121</c:v>
                </c:pt>
                <c:pt idx="1">
                  <c:v>0.40249152371892039</c:v>
                </c:pt>
                <c:pt idx="2">
                  <c:v>0.39607499805373969</c:v>
                </c:pt>
                <c:pt idx="3">
                  <c:v>0.189027374366592</c:v>
                </c:pt>
                <c:pt idx="4">
                  <c:v>3.140948778932863E-2</c:v>
                </c:pt>
                <c:pt idx="5">
                  <c:v>8.5096030907549275E-2</c:v>
                </c:pt>
                <c:pt idx="6">
                  <c:v>-9.9294046346342701E-2</c:v>
                </c:pt>
                <c:pt idx="7">
                  <c:v>1.2938311558725192E-2</c:v>
                </c:pt>
                <c:pt idx="8">
                  <c:v>6.2215514619087933E-2</c:v>
                </c:pt>
                <c:pt idx="9">
                  <c:v>0.51375649519321631</c:v>
                </c:pt>
                <c:pt idx="10">
                  <c:v>0.32399206731364533</c:v>
                </c:pt>
                <c:pt idx="11">
                  <c:v>0.16528514930104199</c:v>
                </c:pt>
                <c:pt idx="12">
                  <c:v>-2.169605059023548E-2</c:v>
                </c:pt>
                <c:pt idx="13">
                  <c:v>4.182612223850346E-2</c:v>
                </c:pt>
                <c:pt idx="14">
                  <c:v>0.27388954764986817</c:v>
                </c:pt>
                <c:pt idx="15">
                  <c:v>0.30603768397823072</c:v>
                </c:pt>
                <c:pt idx="16">
                  <c:v>0.28533447163262504</c:v>
                </c:pt>
                <c:pt idx="17">
                  <c:v>0.19398781099470155</c:v>
                </c:pt>
              </c:numCache>
            </c:numRef>
          </c:xVal>
          <c:yVal>
            <c:numRef>
              <c:f>BUR_8!$D$2:$D$19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5.11E-2</c:v>
                </c:pt>
                <c:pt idx="5">
                  <c:v>7.9600000000000004E-2</c:v>
                </c:pt>
                <c:pt idx="6">
                  <c:v>7.3499999999999998E-3</c:v>
                </c:pt>
                <c:pt idx="7">
                  <c:v>7.0000000000000001E-3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7-8047-9290-5F4B33BB2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 7.8 Ref</a:t>
            </a:r>
            <a:r>
              <a:rPr lang="en-US" baseline="0"/>
              <a:t>  vs. Tp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BUR_8!$AB$2:$AB$19</c:f>
              <c:numCache>
                <c:formatCode>General</c:formatCode>
                <c:ptCount val="18"/>
                <c:pt idx="0">
                  <c:v>0.80115421374128137</c:v>
                </c:pt>
                <c:pt idx="1">
                  <c:v>0.78371423673354634</c:v>
                </c:pt>
                <c:pt idx="2">
                  <c:v>0.77054839770895289</c:v>
                </c:pt>
                <c:pt idx="3">
                  <c:v>0.34382574399347904</c:v>
                </c:pt>
                <c:pt idx="4">
                  <c:v>3.0521034728854209E-2</c:v>
                </c:pt>
                <c:pt idx="5">
                  <c:v>0.13494699011909597</c:v>
                </c:pt>
                <c:pt idx="6">
                  <c:v>-0.21583625577527343</c:v>
                </c:pt>
                <c:pt idx="7">
                  <c:v>-7.0503926046142779E-2</c:v>
                </c:pt>
                <c:pt idx="8">
                  <c:v>-9.4483975115190362E-3</c:v>
                </c:pt>
                <c:pt idx="9">
                  <c:v>1.0184534066525857</c:v>
                </c:pt>
                <c:pt idx="10">
                  <c:v>0.61892903566483093</c:v>
                </c:pt>
                <c:pt idx="11">
                  <c:v>0.23363647288240408</c:v>
                </c:pt>
                <c:pt idx="12">
                  <c:v>-7.3247910798845378E-2</c:v>
                </c:pt>
                <c:pt idx="13">
                  <c:v>-1.544556088445717E-2</c:v>
                </c:pt>
                <c:pt idx="14">
                  <c:v>0.51757225108075899</c:v>
                </c:pt>
                <c:pt idx="15">
                  <c:v>0.58413739928789044</c:v>
                </c:pt>
                <c:pt idx="16">
                  <c:v>0.53975303624625848</c:v>
                </c:pt>
                <c:pt idx="17">
                  <c:v>0.35225667799879717</c:v>
                </c:pt>
              </c:numCache>
            </c:numRef>
          </c:xVal>
          <c:yVal>
            <c:numRef>
              <c:f>BUR_8!$D$2:$D$19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5.11E-2</c:v>
                </c:pt>
                <c:pt idx="5">
                  <c:v>7.9600000000000004E-2</c:v>
                </c:pt>
                <c:pt idx="6">
                  <c:v>7.3499999999999998E-3</c:v>
                </c:pt>
                <c:pt idx="7">
                  <c:v>7.0000000000000001E-3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7-E94C-A9D6-54944632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Referance EC</a:t>
                </a:r>
              </a:p>
            </c:rich>
          </c:tx>
          <c:layout>
            <c:manualLayout>
              <c:xMode val="edge"/>
              <c:yMode val="edge"/>
              <c:x val="0.176313489218169"/>
              <c:y val="0.4118144025717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BUR_8!$AE$2:$AE$19</c:f>
              <c:numCache>
                <c:formatCode>General</c:formatCode>
                <c:ptCount val="18"/>
                <c:pt idx="0">
                  <c:v>0.43209027676421241</c:v>
                </c:pt>
                <c:pt idx="1">
                  <c:v>0.42005460003419759</c:v>
                </c:pt>
                <c:pt idx="2">
                  <c:v>0.41019179944947509</c:v>
                </c:pt>
                <c:pt idx="3">
                  <c:v>0.15880661862846404</c:v>
                </c:pt>
                <c:pt idx="4">
                  <c:v>4.6766308939569512E-2</c:v>
                </c:pt>
                <c:pt idx="5">
                  <c:v>7.6344749406500073E-2</c:v>
                </c:pt>
                <c:pt idx="6">
                  <c:v>9.2866918120590725E-3</c:v>
                </c:pt>
                <c:pt idx="7">
                  <c:v>1.2432288842159939E-2</c:v>
                </c:pt>
                <c:pt idx="8">
                  <c:v>-2.3062903842393234E-3</c:v>
                </c:pt>
                <c:pt idx="9">
                  <c:v>0.59806130253513201</c:v>
                </c:pt>
                <c:pt idx="10">
                  <c:v>0.31001023661711147</c:v>
                </c:pt>
                <c:pt idx="11">
                  <c:v>0.10520713163974767</c:v>
                </c:pt>
                <c:pt idx="12">
                  <c:v>2.6308057290779868E-2</c:v>
                </c:pt>
                <c:pt idx="13">
                  <c:v>2.3050506424302869E-2</c:v>
                </c:pt>
                <c:pt idx="14">
                  <c:v>0.2481662481243545</c:v>
                </c:pt>
                <c:pt idx="15">
                  <c:v>0.28764573013570627</c:v>
                </c:pt>
                <c:pt idx="16">
                  <c:v>0.26175952216788856</c:v>
                </c:pt>
                <c:pt idx="17">
                  <c:v>0.16271814210908811</c:v>
                </c:pt>
              </c:numCache>
            </c:numRef>
          </c:xVal>
          <c:yVal>
            <c:numRef>
              <c:f>BUR_8!$D$2:$D$19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0.42399999999999999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5.11E-2</c:v>
                </c:pt>
                <c:pt idx="5">
                  <c:v>7.9600000000000004E-2</c:v>
                </c:pt>
                <c:pt idx="6">
                  <c:v>7.3499999999999998E-3</c:v>
                </c:pt>
                <c:pt idx="7">
                  <c:v>7.0000000000000001E-3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9-3342-93F3-BB0866C5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25951"/>
        <c:axId val="766774175"/>
      </c:scatterChart>
      <c:valAx>
        <c:axId val="7674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4175"/>
        <c:crosses val="autoZero"/>
        <c:crossBetween val="midCat"/>
      </c:valAx>
      <c:valAx>
        <c:axId val="76677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  <a:r>
                  <a:rPr lang="en-US" baseline="0"/>
                  <a:t> (S/m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coated!$C$6:$C$25</c:f>
              <c:numCache>
                <c:formatCode>General</c:formatCode>
                <c:ptCount val="20"/>
                <c:pt idx="0">
                  <c:v>2</c:v>
                </c:pt>
                <c:pt idx="1">
                  <c:v>3.7</c:v>
                </c:pt>
                <c:pt idx="2">
                  <c:v>5.5</c:v>
                </c:pt>
                <c:pt idx="3">
                  <c:v>7.4</c:v>
                </c:pt>
                <c:pt idx="4">
                  <c:v>9.4</c:v>
                </c:pt>
                <c:pt idx="5">
                  <c:v>11.4</c:v>
                </c:pt>
                <c:pt idx="6">
                  <c:v>13.5</c:v>
                </c:pt>
                <c:pt idx="7">
                  <c:v>15.6</c:v>
                </c:pt>
                <c:pt idx="8">
                  <c:v>17.7</c:v>
                </c:pt>
                <c:pt idx="9">
                  <c:v>19.899999999999999</c:v>
                </c:pt>
                <c:pt idx="10">
                  <c:v>22</c:v>
                </c:pt>
                <c:pt idx="11">
                  <c:v>24.2</c:v>
                </c:pt>
                <c:pt idx="12">
                  <c:v>26.3</c:v>
                </c:pt>
                <c:pt idx="13">
                  <c:v>28.3</c:v>
                </c:pt>
                <c:pt idx="14">
                  <c:v>30.3</c:v>
                </c:pt>
                <c:pt idx="15">
                  <c:v>32.299999999999997</c:v>
                </c:pt>
                <c:pt idx="16">
                  <c:v>34.1</c:v>
                </c:pt>
                <c:pt idx="17">
                  <c:v>35.799999999999997</c:v>
                </c:pt>
                <c:pt idx="18">
                  <c:v>37.4</c:v>
                </c:pt>
                <c:pt idx="19">
                  <c:v>40.299999999999997</c:v>
                </c:pt>
              </c:numCache>
            </c:numRef>
          </c:xVal>
          <c:yVal>
            <c:numRef>
              <c:f>coated!$D$6:$D$25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9948-882A-D983AFDC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47824"/>
        <c:axId val="209581408"/>
      </c:scatterChart>
      <c:valAx>
        <c:axId val="2413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1408"/>
        <c:crosses val="autoZero"/>
        <c:crossBetween val="midCat"/>
      </c:valAx>
      <c:valAx>
        <c:axId val="2095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3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coated!$H$4:$H$63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coated!$J$4:$J$63</c:f>
              <c:numCache>
                <c:formatCode>0.00E+00</c:formatCode>
                <c:ptCount val="60"/>
                <c:pt idx="0" formatCode="General">
                  <c:v>-2.4345699999999998E-2</c:v>
                </c:pt>
                <c:pt idx="1">
                  <c:v>3.2344000000000019E-3</c:v>
                </c:pt>
                <c:pt idx="2" formatCode="General">
                  <c:v>2.97661E-2</c:v>
                </c:pt>
                <c:pt idx="3" formatCode="General">
                  <c:v>5.5275199999999997E-2</c:v>
                </c:pt>
                <c:pt idx="4" formatCode="General">
                  <c:v>7.9787499999999997E-2</c:v>
                </c:pt>
                <c:pt idx="5" formatCode="General">
                  <c:v>0.1033288</c:v>
                </c:pt>
                <c:pt idx="6" formatCode="General">
                  <c:v>0.12592490000000001</c:v>
                </c:pt>
                <c:pt idx="7" formatCode="General">
                  <c:v>0.1476016</c:v>
                </c:pt>
                <c:pt idx="8" formatCode="General">
                  <c:v>0.16838469999999997</c:v>
                </c:pt>
                <c:pt idx="9" formatCode="General">
                  <c:v>0.1883</c:v>
                </c:pt>
                <c:pt idx="10" formatCode="General">
                  <c:v>0.20737329999999998</c:v>
                </c:pt>
                <c:pt idx="11" formatCode="General">
                  <c:v>0.22563040000000001</c:v>
                </c:pt>
                <c:pt idx="12" formatCode="General">
                  <c:v>0.24309710000000001</c:v>
                </c:pt>
                <c:pt idx="13" formatCode="General">
                  <c:v>0.25979920000000001</c:v>
                </c:pt>
                <c:pt idx="14" formatCode="General">
                  <c:v>0.27576249999999997</c:v>
                </c:pt>
                <c:pt idx="15" formatCode="General">
                  <c:v>0.29101279999999996</c:v>
                </c:pt>
                <c:pt idx="16" formatCode="General">
                  <c:v>0.30557590000000001</c:v>
                </c:pt>
                <c:pt idx="17" formatCode="General">
                  <c:v>0.31947759999999997</c:v>
                </c:pt>
                <c:pt idx="18" formatCode="General">
                  <c:v>0.33274369999999992</c:v>
                </c:pt>
                <c:pt idx="19" formatCode="General">
                  <c:v>0.34539999999999993</c:v>
                </c:pt>
                <c:pt idx="20" formatCode="General">
                  <c:v>0.35747229999999985</c:v>
                </c:pt>
                <c:pt idx="21" formatCode="General">
                  <c:v>0.36898639999999994</c:v>
                </c:pt>
                <c:pt idx="22" formatCode="General">
                  <c:v>0.37996809999999992</c:v>
                </c:pt>
                <c:pt idx="23" formatCode="General">
                  <c:v>0.39044319999999988</c:v>
                </c:pt>
                <c:pt idx="24" formatCode="General">
                  <c:v>0.40043749999999995</c:v>
                </c:pt>
                <c:pt idx="25" formatCode="General">
                  <c:v>0.40997679999999992</c:v>
                </c:pt>
                <c:pt idx="26" formatCode="General">
                  <c:v>0.41908689999999993</c:v>
                </c:pt>
                <c:pt idx="27" formatCode="General">
                  <c:v>0.42779359999999994</c:v>
                </c:pt>
                <c:pt idx="28" formatCode="General">
                  <c:v>0.43612269999999997</c:v>
                </c:pt>
                <c:pt idx="29" formatCode="General">
                  <c:v>0.44409999999999994</c:v>
                </c:pt>
                <c:pt idx="30" formatCode="General">
                  <c:v>0.45175129999999986</c:v>
                </c:pt>
                <c:pt idx="31" formatCode="General">
                  <c:v>0.45910239999999991</c:v>
                </c:pt>
                <c:pt idx="32" formatCode="General">
                  <c:v>0.46617909999999996</c:v>
                </c:pt>
                <c:pt idx="33" formatCode="General">
                  <c:v>0.47300719999999996</c:v>
                </c:pt>
                <c:pt idx="34" formatCode="General">
                  <c:v>0.47961249999999989</c:v>
                </c:pt>
                <c:pt idx="35" formatCode="General">
                  <c:v>0.48602079999999992</c:v>
                </c:pt>
                <c:pt idx="36" formatCode="General">
                  <c:v>0.49225790000000014</c:v>
                </c:pt>
                <c:pt idx="37" formatCode="General">
                  <c:v>0.49834959999999995</c:v>
                </c:pt>
                <c:pt idx="38" formatCode="General">
                  <c:v>0.50432170000000009</c:v>
                </c:pt>
                <c:pt idx="39" formatCode="General">
                  <c:v>0.51019999999999999</c:v>
                </c:pt>
                <c:pt idx="40" formatCode="General">
                  <c:v>0.51601030000000003</c:v>
                </c:pt>
                <c:pt idx="41" formatCode="General">
                  <c:v>0.52177839999999998</c:v>
                </c:pt>
                <c:pt idx="42" formatCode="General">
                  <c:v>0.52753010000000011</c:v>
                </c:pt>
                <c:pt idx="43" formatCode="General">
                  <c:v>0.53329120000000008</c:v>
                </c:pt>
                <c:pt idx="44" formatCode="General">
                  <c:v>0.53908750000000016</c:v>
                </c:pt>
                <c:pt idx="45" formatCode="General">
                  <c:v>0.5449447999999999</c:v>
                </c:pt>
                <c:pt idx="46" formatCode="General">
                  <c:v>0.55088890000000013</c:v>
                </c:pt>
                <c:pt idx="47" formatCode="General">
                  <c:v>0.55694559999999993</c:v>
                </c:pt>
                <c:pt idx="48" formatCode="General">
                  <c:v>0.56314070000000005</c:v>
                </c:pt>
                <c:pt idx="49" formatCode="General">
                  <c:v>0.56950000000000012</c:v>
                </c:pt>
                <c:pt idx="50" formatCode="General">
                  <c:v>0.57604930000000021</c:v>
                </c:pt>
                <c:pt idx="51" formatCode="General">
                  <c:v>0.58281439999999995</c:v>
                </c:pt>
                <c:pt idx="52" formatCode="General">
                  <c:v>0.58982110000000021</c:v>
                </c:pt>
                <c:pt idx="53" formatCode="General">
                  <c:v>0.59709519999999994</c:v>
                </c:pt>
                <c:pt idx="54" formatCode="General">
                  <c:v>0.6046625000000001</c:v>
                </c:pt>
                <c:pt idx="55" formatCode="General">
                  <c:v>0.6125488</c:v>
                </c:pt>
                <c:pt idx="56" formatCode="General">
                  <c:v>0.62077990000000016</c:v>
                </c:pt>
                <c:pt idx="57" formatCode="General">
                  <c:v>0.6293816000000001</c:v>
                </c:pt>
                <c:pt idx="58" formatCode="General">
                  <c:v>0.63837969999999999</c:v>
                </c:pt>
                <c:pt idx="59" formatCode="General">
                  <c:v>0.64779999999999993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E-2840-8068-5414B55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36896"/>
        <c:axId val="100724592"/>
      </c:scatterChart>
      <c:valAx>
        <c:axId val="5430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4592"/>
        <c:crosses val="autoZero"/>
        <c:crossBetween val="midCat"/>
      </c:valAx>
      <c:valAx>
        <c:axId val="1007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'BCT_20)'!$Z$2:$Z$19</c:f>
              <c:numCache>
                <c:formatCode>General</c:formatCode>
                <c:ptCount val="18"/>
                <c:pt idx="0">
                  <c:v>0.38954363731778796</c:v>
                </c:pt>
                <c:pt idx="1">
                  <c:v>0.41406623109221741</c:v>
                </c:pt>
                <c:pt idx="2">
                  <c:v>0.4018019132077284</c:v>
                </c:pt>
                <c:pt idx="3">
                  <c:v>0.19208296969582064</c:v>
                </c:pt>
                <c:pt idx="4">
                  <c:v>9.5957499589464645E-2</c:v>
                </c:pt>
                <c:pt idx="5">
                  <c:v>5.8209374555797083E-2</c:v>
                </c:pt>
                <c:pt idx="6">
                  <c:v>4.9952883978930163E-2</c:v>
                </c:pt>
                <c:pt idx="7">
                  <c:v>0.18974069856990292</c:v>
                </c:pt>
                <c:pt idx="8">
                  <c:v>-6.9745699679883172E-2</c:v>
                </c:pt>
                <c:pt idx="9">
                  <c:v>0.4521719004159227</c:v>
                </c:pt>
                <c:pt idx="10">
                  <c:v>0.32778308690083757</c:v>
                </c:pt>
                <c:pt idx="11">
                  <c:v>-5.5527010464000638E-2</c:v>
                </c:pt>
                <c:pt idx="12">
                  <c:v>0.14245339976198906</c:v>
                </c:pt>
                <c:pt idx="13">
                  <c:v>2.8760321576143388E-5</c:v>
                </c:pt>
                <c:pt idx="14">
                  <c:v>0.25814665991707408</c:v>
                </c:pt>
                <c:pt idx="15">
                  <c:v>0.28467985406075447</c:v>
                </c:pt>
                <c:pt idx="16">
                  <c:v>0.27222971496994408</c:v>
                </c:pt>
                <c:pt idx="17">
                  <c:v>0.16977412578813481</c:v>
                </c:pt>
              </c:numCache>
            </c:numRef>
          </c:xVal>
          <c:yVal>
            <c:numRef>
              <c:f>'BCT_20)'!$D$2:$D$19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0.437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6-714A-A9B8-CE4D1890CE8A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'BCT_20)'!$Y$2:$Y$19</c:f>
              <c:numCache>
                <c:formatCode>General</c:formatCode>
                <c:ptCount val="18"/>
                <c:pt idx="0">
                  <c:v>0.36697641061898512</c:v>
                </c:pt>
                <c:pt idx="1">
                  <c:v>0.38067433433870368</c:v>
                </c:pt>
                <c:pt idx="2">
                  <c:v>0.37160267170406325</c:v>
                </c:pt>
                <c:pt idx="3">
                  <c:v>0.22559117249457658</c:v>
                </c:pt>
                <c:pt idx="4">
                  <c:v>0.14979796326843173</c:v>
                </c:pt>
                <c:pt idx="5">
                  <c:v>0.11132619298999308</c:v>
                </c:pt>
                <c:pt idx="6">
                  <c:v>9.4058137311746337E-3</c:v>
                </c:pt>
                <c:pt idx="7">
                  <c:v>0.17365462831123687</c:v>
                </c:pt>
                <c:pt idx="8">
                  <c:v>-0.13851593540997237</c:v>
                </c:pt>
                <c:pt idx="9">
                  <c:v>0.40758324278322777</c:v>
                </c:pt>
                <c:pt idx="10">
                  <c:v>0.3204932512952241</c:v>
                </c:pt>
                <c:pt idx="11">
                  <c:v>-7.3182086598791024E-3</c:v>
                </c:pt>
                <c:pt idx="12">
                  <c:v>0.15543812493132811</c:v>
                </c:pt>
                <c:pt idx="13">
                  <c:v>-1.0797728368881182E-2</c:v>
                </c:pt>
                <c:pt idx="14">
                  <c:v>0.27254416221444644</c:v>
                </c:pt>
                <c:pt idx="15">
                  <c:v>0.29258962120505105</c:v>
                </c:pt>
                <c:pt idx="16">
                  <c:v>0.28281808448297852</c:v>
                </c:pt>
                <c:pt idx="17">
                  <c:v>0.20948619806931038</c:v>
                </c:pt>
              </c:numCache>
            </c:numRef>
          </c:xVal>
          <c:yVal>
            <c:numRef>
              <c:f>'BCT_20)'!$D$2:$D$19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0.437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F6-714A-A9B8-CE4D1890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77551398909383E-2"/>
                  <c:y val="-0.70579373459238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'BCT_20)'!$AB$2:$AB$19</c:f>
              <c:numCache>
                <c:formatCode>General</c:formatCode>
                <c:ptCount val="18"/>
                <c:pt idx="0">
                  <c:v>-7.1903965709937387E-2</c:v>
                </c:pt>
                <c:pt idx="1">
                  <c:v>-7.5554794213133644E-2</c:v>
                </c:pt>
                <c:pt idx="2">
                  <c:v>-7.3728930207196369E-2</c:v>
                </c:pt>
                <c:pt idx="3">
                  <c:v>-4.2506788549740562E-2</c:v>
                </c:pt>
                <c:pt idx="4">
                  <c:v>-2.8196001959402001E-2</c:v>
                </c:pt>
                <c:pt idx="5">
                  <c:v>-2.2576207736866243E-2</c:v>
                </c:pt>
                <c:pt idx="6">
                  <c:v>-2.1347013492094783E-2</c:v>
                </c:pt>
                <c:pt idx="7">
                  <c:v>-4.215808032305899E-2</c:v>
                </c:pt>
                <c:pt idx="8">
                  <c:v>-3.5267533257541356E-3</c:v>
                </c:pt>
                <c:pt idx="9">
                  <c:v>-8.1227818240690516E-2</c:v>
                </c:pt>
                <c:pt idx="10">
                  <c:v>-6.2709294872531698E-2</c:v>
                </c:pt>
                <c:pt idx="11">
                  <c:v>-5.6435765437597941E-3</c:v>
                </c:pt>
                <c:pt idx="12">
                  <c:v>-3.5118130963904898E-2</c:v>
                </c:pt>
                <c:pt idx="13">
                  <c:v>-1.3914503892094136E-2</c:v>
                </c:pt>
                <c:pt idx="14">
                  <c:v>-5.2342094125677426E-2</c:v>
                </c:pt>
                <c:pt idx="15">
                  <c:v>-5.6292253001676763E-2</c:v>
                </c:pt>
                <c:pt idx="16">
                  <c:v>-5.4438724656364262E-2</c:v>
                </c:pt>
                <c:pt idx="17">
                  <c:v>-3.9185534527400478E-2</c:v>
                </c:pt>
              </c:numCache>
            </c:numRef>
          </c:xVal>
          <c:yVal>
            <c:numRef>
              <c:f>'BCT_20)'!$D$2:$D$19</c:f>
              <c:numCache>
                <c:formatCode>General</c:formatCode>
                <c:ptCount val="18"/>
                <c:pt idx="0">
                  <c:v>0.42399999999999999</c:v>
                </c:pt>
                <c:pt idx="1">
                  <c:v>0.437</c:v>
                </c:pt>
                <c:pt idx="2">
                  <c:v>0.41399999999999998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0A42-BB6C-B345EB7D7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22651369158413E-2"/>
          <c:y val="3.7080842319070918E-2"/>
          <c:w val="0.75162495191567791"/>
          <c:h val="0.88503381680360704"/>
        </c:manualLayout>
      </c:layout>
      <c:scatterChart>
        <c:scatterStyle val="lineMarker"/>
        <c:varyColors val="0"/>
        <c:ser>
          <c:idx val="0"/>
          <c:order val="0"/>
          <c:tx>
            <c:v>Topp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34411159787382"/>
                  <c:y val="1.78737445981558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FCT_40!$Z$2:$Z$19</c:f>
              <c:numCache>
                <c:formatCode>General</c:formatCode>
                <c:ptCount val="18"/>
                <c:pt idx="0">
                  <c:v>0.40211922252875926</c:v>
                </c:pt>
                <c:pt idx="1">
                  <c:v>0.38016083937802064</c:v>
                </c:pt>
                <c:pt idx="2">
                  <c:v>0.40076756817627202</c:v>
                </c:pt>
                <c:pt idx="3">
                  <c:v>0.16411792581882842</c:v>
                </c:pt>
                <c:pt idx="4">
                  <c:v>0.10376404518615383</c:v>
                </c:pt>
                <c:pt idx="5">
                  <c:v>7.431204039673453E-2</c:v>
                </c:pt>
                <c:pt idx="6">
                  <c:v>1.8044430019520569E-2</c:v>
                </c:pt>
                <c:pt idx="7">
                  <c:v>-1.6850129574268145E-3</c:v>
                </c:pt>
                <c:pt idx="8">
                  <c:v>6.376344222150835E-3</c:v>
                </c:pt>
                <c:pt idx="9">
                  <c:v>0.66748889228334285</c:v>
                </c:pt>
                <c:pt idx="10">
                  <c:v>0.28516719184579209</c:v>
                </c:pt>
                <c:pt idx="11">
                  <c:v>9.9163264915581487E-2</c:v>
                </c:pt>
                <c:pt idx="12">
                  <c:v>3.6683484942605434E-2</c:v>
                </c:pt>
                <c:pt idx="13">
                  <c:v>4.7677067774441119E-2</c:v>
                </c:pt>
                <c:pt idx="14">
                  <c:v>0.22784833875083899</c:v>
                </c:pt>
                <c:pt idx="15">
                  <c:v>0.25917507161684272</c:v>
                </c:pt>
                <c:pt idx="16">
                  <c:v>0.23922884264350114</c:v>
                </c:pt>
                <c:pt idx="17">
                  <c:v>0.16294044245804107</c:v>
                </c:pt>
              </c:numCache>
            </c:numRef>
          </c:xVal>
          <c:yVal>
            <c:numRef>
              <c:f>FCT_40!$D$2:$D$19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0.41399999999999998</c:v>
                </c:pt>
                <c:pt idx="2">
                  <c:v>0.42399999999999999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A-0143-8092-FB244E86FB6A}"/>
            </c:ext>
          </c:extLst>
        </c:ser>
        <c:ser>
          <c:idx val="1"/>
          <c:order val="1"/>
          <c:tx>
            <c:v>Dalton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FCT_40!$Y$2:$Y$19</c:f>
              <c:numCache>
                <c:formatCode>General</c:formatCode>
                <c:ptCount val="18"/>
                <c:pt idx="0">
                  <c:v>0.40175876072809341</c:v>
                </c:pt>
                <c:pt idx="1">
                  <c:v>0.37858438544870171</c:v>
                </c:pt>
                <c:pt idx="2">
                  <c:v>0.40021480761909367</c:v>
                </c:pt>
                <c:pt idx="3">
                  <c:v>0.15069091513540669</c:v>
                </c:pt>
                <c:pt idx="4">
                  <c:v>8.9351684034646689E-2</c:v>
                </c:pt>
                <c:pt idx="5">
                  <c:v>6.1199031711663E-2</c:v>
                </c:pt>
                <c:pt idx="6">
                  <c:v>4.7478574849459595E-2</c:v>
                </c:pt>
                <c:pt idx="7">
                  <c:v>-7.156298842370068E-3</c:v>
                </c:pt>
                <c:pt idx="8">
                  <c:v>5.6063020623868295E-2</c:v>
                </c:pt>
                <c:pt idx="9">
                  <c:v>0.67911577511369159</c:v>
                </c:pt>
                <c:pt idx="10">
                  <c:v>0.28021697307442184</c:v>
                </c:pt>
                <c:pt idx="11">
                  <c:v>9.2175593878720999E-2</c:v>
                </c:pt>
                <c:pt idx="12">
                  <c:v>2.5138674941391843E-2</c:v>
                </c:pt>
                <c:pt idx="13">
                  <c:v>6.521426436679037E-2</c:v>
                </c:pt>
                <c:pt idx="14">
                  <c:v>0.21710415581425807</c:v>
                </c:pt>
                <c:pt idx="15">
                  <c:v>0.24980021669766814</c:v>
                </c:pt>
                <c:pt idx="16">
                  <c:v>0.2292745367086759</c:v>
                </c:pt>
                <c:pt idx="17">
                  <c:v>0.15712492809581796</c:v>
                </c:pt>
              </c:numCache>
            </c:numRef>
          </c:xVal>
          <c:yVal>
            <c:numRef>
              <c:f>FCT_40!$D$2:$D$19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0.41399999999999998</c:v>
                </c:pt>
                <c:pt idx="2">
                  <c:v>0.42399999999999999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A-0143-8092-FB244E86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12111"/>
        <c:axId val="711799247"/>
      </c:scatterChart>
      <c:valAx>
        <c:axId val="7118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Topp/Dlaton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247"/>
        <c:crosses val="autoZero"/>
        <c:crossBetween val="midCat"/>
      </c:valAx>
      <c:valAx>
        <c:axId val="7117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1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Topp_Raw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FCT_40!$AB$2:$AB$19</c:f>
              <c:numCache>
                <c:formatCode>General</c:formatCode>
                <c:ptCount val="18"/>
                <c:pt idx="0">
                  <c:v>9.1704364451449916E-2</c:v>
                </c:pt>
                <c:pt idx="1">
                  <c:v>8.6402340138702877E-2</c:v>
                </c:pt>
                <c:pt idx="2">
                  <c:v>9.1377996877383946E-2</c:v>
                </c:pt>
                <c:pt idx="3">
                  <c:v>3.4237079498872246E-2</c:v>
                </c:pt>
                <c:pt idx="4">
                  <c:v>1.9664160341465623E-2</c:v>
                </c:pt>
                <c:pt idx="5">
                  <c:v>1.2552742147299041E-2</c:v>
                </c:pt>
                <c:pt idx="6">
                  <c:v>-1.0335149187241097E-3</c:v>
                </c:pt>
                <c:pt idx="7">
                  <c:v>-5.7973440960655568E-3</c:v>
                </c:pt>
                <c:pt idx="8">
                  <c:v>-3.8508660030999132E-3</c:v>
                </c:pt>
                <c:pt idx="9">
                  <c:v>0.15577995832581623</c:v>
                </c:pt>
                <c:pt idx="10">
                  <c:v>6.3465376824286102E-2</c:v>
                </c:pt>
                <c:pt idx="11">
                  <c:v>1.855326576035158E-2</c:v>
                </c:pt>
                <c:pt idx="12">
                  <c:v>3.4670314871937257E-3</c:v>
                </c:pt>
                <c:pt idx="13">
                  <c:v>6.1215185256271835E-3</c:v>
                </c:pt>
                <c:pt idx="14">
                  <c:v>4.9625288936121392E-2</c:v>
                </c:pt>
                <c:pt idx="15">
                  <c:v>5.7189374968971987E-2</c:v>
                </c:pt>
                <c:pt idx="16">
                  <c:v>5.2373201107795905E-2</c:v>
                </c:pt>
                <c:pt idx="17">
                  <c:v>3.3952766880593718E-2</c:v>
                </c:pt>
              </c:numCache>
            </c:numRef>
          </c:xVal>
          <c:yVal>
            <c:numRef>
              <c:f>FCT_40!$D$2:$D$19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0.41399999999999998</c:v>
                </c:pt>
                <c:pt idx="2">
                  <c:v>0.42399999999999999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A-D342-8226-AB0423B1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3791"/>
        <c:axId val="736968079"/>
      </c:scatterChart>
      <c:valAx>
        <c:axId val="73673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68079"/>
        <c:crosses val="autoZero"/>
        <c:crossBetween val="midCat"/>
      </c:valAx>
      <c:valAx>
        <c:axId val="736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FCT_40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919730005387438"/>
                  <c:y val="2.5901970147700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FCT_40!$AE$2:$AE$19</c:f>
              <c:numCache>
                <c:formatCode>General</c:formatCode>
                <c:ptCount val="18"/>
                <c:pt idx="0">
                  <c:v>0.41662157228165364</c:v>
                </c:pt>
                <c:pt idx="1">
                  <c:v>0.39686985007787001</c:v>
                </c:pt>
                <c:pt idx="2">
                  <c:v>0.41402715785825528</c:v>
                </c:pt>
                <c:pt idx="3">
                  <c:v>0.18140357612005364</c:v>
                </c:pt>
                <c:pt idx="4">
                  <c:v>0.1003767293634098</c:v>
                </c:pt>
                <c:pt idx="5">
                  <c:v>5.9564307768208535E-2</c:v>
                </c:pt>
                <c:pt idx="6">
                  <c:v>1.2004208997026922E-2</c:v>
                </c:pt>
                <c:pt idx="7">
                  <c:v>-1.897751170116041E-2</c:v>
                </c:pt>
                <c:pt idx="8">
                  <c:v>1.9159215563183674E-3</c:v>
                </c:pt>
                <c:pt idx="9">
                  <c:v>0.61172417557101655</c:v>
                </c:pt>
                <c:pt idx="10">
                  <c:v>0.30427846436587436</c:v>
                </c:pt>
                <c:pt idx="11">
                  <c:v>0.10418139336734489</c:v>
                </c:pt>
                <c:pt idx="12">
                  <c:v>1.5342835873385696E-2</c:v>
                </c:pt>
                <c:pt idx="13">
                  <c:v>1.6355159248846785E-2</c:v>
                </c:pt>
                <c:pt idx="14">
                  <c:v>0.25154569762687373</c:v>
                </c:pt>
                <c:pt idx="15">
                  <c:v>0.28223585439784926</c:v>
                </c:pt>
                <c:pt idx="16">
                  <c:v>0.26476088674649767</c:v>
                </c:pt>
                <c:pt idx="17">
                  <c:v>0.16624988585993927</c:v>
                </c:pt>
              </c:numCache>
            </c:numRef>
          </c:xVal>
          <c:yVal>
            <c:numRef>
              <c:f>FCT_40!$D$2:$D$19</c:f>
              <c:numCache>
                <c:formatCode>General</c:formatCode>
                <c:ptCount val="18"/>
                <c:pt idx="0">
                  <c:v>0.437</c:v>
                </c:pt>
                <c:pt idx="1">
                  <c:v>0.41399999999999998</c:v>
                </c:pt>
                <c:pt idx="2">
                  <c:v>0.42399999999999999</c:v>
                </c:pt>
                <c:pt idx="3">
                  <c:v>0.1552</c:v>
                </c:pt>
                <c:pt idx="4">
                  <c:v>7.9600000000000004E-2</c:v>
                </c:pt>
                <c:pt idx="5">
                  <c:v>5.11E-2</c:v>
                </c:pt>
                <c:pt idx="6">
                  <c:v>7.0000000000000001E-3</c:v>
                </c:pt>
                <c:pt idx="7">
                  <c:v>7.3499999999999998E-3</c:v>
                </c:pt>
                <c:pt idx="8">
                  <c:v>0</c:v>
                </c:pt>
                <c:pt idx="9">
                  <c:v>0.59199999999999997</c:v>
                </c:pt>
                <c:pt idx="10">
                  <c:v>0.316</c:v>
                </c:pt>
                <c:pt idx="11">
                  <c:v>0.106</c:v>
                </c:pt>
                <c:pt idx="12">
                  <c:v>2.8400000000000002E-2</c:v>
                </c:pt>
                <c:pt idx="13">
                  <c:v>1.7999999999999999E-2</c:v>
                </c:pt>
                <c:pt idx="14">
                  <c:v>0.24099999999999999</c:v>
                </c:pt>
                <c:pt idx="15">
                  <c:v>0.28199999999999997</c:v>
                </c:pt>
                <c:pt idx="16">
                  <c:v>0.25800000000000001</c:v>
                </c:pt>
                <c:pt idx="17">
                  <c:v>0.15670000000000001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9-D74C-B340-50744858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25951"/>
        <c:axId val="766774175"/>
      </c:scatterChart>
      <c:valAx>
        <c:axId val="76742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EC (S/m)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74175"/>
        <c:crosses val="autoZero"/>
        <c:crossBetween val="midCat"/>
      </c:valAx>
      <c:valAx>
        <c:axId val="7667741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 EC</a:t>
                </a:r>
                <a:r>
                  <a:rPr lang="en-US" baseline="0"/>
                  <a:t> (S/m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2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61</xdr:row>
      <xdr:rowOff>146050</xdr:rowOff>
    </xdr:from>
    <xdr:to>
      <xdr:col>10</xdr:col>
      <xdr:colOff>361950</xdr:colOff>
      <xdr:row>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DE821-D754-FDF5-43E5-C59E0950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60F65-3ACD-CE4C-983E-71C6D3FF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161636</xdr:colOff>
      <xdr:row>16</xdr:row>
      <xdr:rowOff>168276</xdr:rowOff>
    </xdr:from>
    <xdr:to>
      <xdr:col>44</xdr:col>
      <xdr:colOff>243414</xdr:colOff>
      <xdr:row>35</xdr:row>
      <xdr:rowOff>80818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D83B9B-FCE6-4F69-FF80-8D163F1F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39</xdr:row>
      <xdr:rowOff>0</xdr:rowOff>
    </xdr:from>
    <xdr:to>
      <xdr:col>42</xdr:col>
      <xdr:colOff>311729</xdr:colOff>
      <xdr:row>57</xdr:row>
      <xdr:rowOff>26554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CD4A12-1959-334E-8277-928D92ADE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755650</xdr:colOff>
      <xdr:row>0</xdr:row>
      <xdr:rowOff>0</xdr:rowOff>
    </xdr:from>
    <xdr:to>
      <xdr:col>39</xdr:col>
      <xdr:colOff>374650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BA94C-4B16-8C88-B01D-13A0FD99E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29</xdr:row>
      <xdr:rowOff>19050</xdr:rowOff>
    </xdr:from>
    <xdr:to>
      <xdr:col>6</xdr:col>
      <xdr:colOff>31750</xdr:colOff>
      <xdr:row>42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6F680-0CF7-7AEF-FD1D-7C8B5286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50</xdr:row>
      <xdr:rowOff>196850</xdr:rowOff>
    </xdr:from>
    <xdr:to>
      <xdr:col>6</xdr:col>
      <xdr:colOff>82550</xdr:colOff>
      <xdr:row>64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5E4A0-3E9F-EB6E-5B83-7CD9158D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EAEC3-70E7-0845-8CAD-16286C6D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45</xdr:col>
      <xdr:colOff>148166</xdr:colOff>
      <xdr:row>39</xdr:row>
      <xdr:rowOff>52916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83953-5498-6045-9B4D-20C0CD074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1FB45-1A22-6149-BA8D-11E54FB60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44</xdr:col>
      <xdr:colOff>243415</xdr:colOff>
      <xdr:row>34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491E5-252A-2148-9567-5C726AEF3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242453</xdr:colOff>
      <xdr:row>37</xdr:row>
      <xdr:rowOff>100445</xdr:rowOff>
    </xdr:from>
    <xdr:to>
      <xdr:col>41</xdr:col>
      <xdr:colOff>554181</xdr:colOff>
      <xdr:row>55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CE311-F01E-9880-BBF4-A0B92B3B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EFDE6-91D2-A040-B573-B8BCBDCFB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44</xdr:col>
      <xdr:colOff>243415</xdr:colOff>
      <xdr:row>34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BB83A-0042-E942-A0A5-A7370AC54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242453</xdr:colOff>
      <xdr:row>37</xdr:row>
      <xdr:rowOff>100445</xdr:rowOff>
    </xdr:from>
    <xdr:to>
      <xdr:col>41</xdr:col>
      <xdr:colOff>554181</xdr:colOff>
      <xdr:row>55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0DE06-B0A7-5847-BC32-3C7EE5A64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232B-0AF4-834F-B115-FAEFCBE4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44</xdr:col>
      <xdr:colOff>243415</xdr:colOff>
      <xdr:row>34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4A5CF-EFAF-B04F-A0F1-094A7104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39</xdr:row>
      <xdr:rowOff>0</xdr:rowOff>
    </xdr:from>
    <xdr:to>
      <xdr:col>42</xdr:col>
      <xdr:colOff>311729</xdr:colOff>
      <xdr:row>57</xdr:row>
      <xdr:rowOff>26554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63417-9211-E84B-A9E5-ACDA5D834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0ADCC-DAD8-384F-834C-C48EBF71B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45</xdr:col>
      <xdr:colOff>148166</xdr:colOff>
      <xdr:row>39</xdr:row>
      <xdr:rowOff>52916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95B07-F3A3-0F42-96A0-687E7ACB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204611</xdr:colOff>
      <xdr:row>5</xdr:row>
      <xdr:rowOff>215901</xdr:rowOff>
    </xdr:from>
    <xdr:to>
      <xdr:col>43</xdr:col>
      <xdr:colOff>578555</xdr:colOff>
      <xdr:row>15</xdr:row>
      <xdr:rowOff>14112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0907A-3511-C643-9ED1-5D7A59020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142874</xdr:colOff>
      <xdr:row>16</xdr:row>
      <xdr:rowOff>168276</xdr:rowOff>
    </xdr:from>
    <xdr:to>
      <xdr:col>44</xdr:col>
      <xdr:colOff>243415</xdr:colOff>
      <xdr:row>34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FBB79-1FE3-6E46-84C1-7192113E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39</xdr:row>
      <xdr:rowOff>0</xdr:rowOff>
    </xdr:from>
    <xdr:to>
      <xdr:col>42</xdr:col>
      <xdr:colOff>311729</xdr:colOff>
      <xdr:row>57</xdr:row>
      <xdr:rowOff>26554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B870A-6323-C043-9D18-478CE4A49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AB14-3275-D84B-9694-24A1594936D9}">
  <dimension ref="C4:O53"/>
  <sheetViews>
    <sheetView workbookViewId="0">
      <selection activeCell="E20" sqref="E20"/>
    </sheetView>
  </sheetViews>
  <sheetFormatPr baseColWidth="10" defaultRowHeight="16" x14ac:dyDescent="0.2"/>
  <cols>
    <col min="4" max="4" width="18.33203125" customWidth="1"/>
    <col min="5" max="5" width="9" customWidth="1"/>
  </cols>
  <sheetData>
    <row r="4" spans="3:15" ht="46" customHeight="1" x14ac:dyDescent="0.2">
      <c r="C4" s="4" t="s">
        <v>260</v>
      </c>
      <c r="D4" s="4" t="s">
        <v>261</v>
      </c>
      <c r="E4" s="17" t="s">
        <v>110</v>
      </c>
      <c r="F4" s="19" t="s">
        <v>244</v>
      </c>
      <c r="G4" s="18" t="s">
        <v>258</v>
      </c>
      <c r="H4" s="18" t="s">
        <v>271</v>
      </c>
      <c r="I4" s="25" t="s">
        <v>407</v>
      </c>
      <c r="K4" s="3"/>
      <c r="L4" s="3"/>
      <c r="M4" s="3"/>
      <c r="N4" s="4"/>
      <c r="O4" s="3"/>
    </row>
    <row r="5" spans="3:15" ht="29" customHeight="1" x14ac:dyDescent="0.2">
      <c r="C5" s="4" t="s">
        <v>115</v>
      </c>
      <c r="D5" s="21" t="s">
        <v>262</v>
      </c>
      <c r="E5" s="3">
        <v>7.9600000000000004E-2</v>
      </c>
      <c r="F5" s="20">
        <v>8.0199999999999994E-2</v>
      </c>
      <c r="G5" s="3"/>
      <c r="H5" s="3">
        <v>8.1500000000000003E-2</v>
      </c>
      <c r="I5" s="3">
        <v>79.5</v>
      </c>
      <c r="K5" s="3"/>
      <c r="L5" s="3"/>
      <c r="M5" s="3"/>
      <c r="N5" s="3"/>
      <c r="O5" s="3"/>
    </row>
    <row r="6" spans="3:15" ht="34" customHeight="1" x14ac:dyDescent="0.2">
      <c r="C6" s="4" t="s">
        <v>408</v>
      </c>
      <c r="D6" s="21" t="s">
        <v>263</v>
      </c>
      <c r="E6" s="3">
        <v>5.11E-2</v>
      </c>
      <c r="F6" s="20">
        <v>5.11E-2</v>
      </c>
      <c r="G6" s="3"/>
      <c r="H6" s="3">
        <v>5.7000000000000002E-2</v>
      </c>
      <c r="I6" s="3">
        <v>80.5</v>
      </c>
      <c r="K6" s="3"/>
      <c r="L6" s="3"/>
      <c r="M6" s="3"/>
      <c r="N6" s="3"/>
      <c r="O6" s="3"/>
    </row>
    <row r="7" spans="3:15" ht="33" customHeight="1" x14ac:dyDescent="0.2">
      <c r="C7" s="4" t="s">
        <v>85</v>
      </c>
      <c r="D7" s="21" t="s">
        <v>264</v>
      </c>
      <c r="E7" s="3">
        <v>0.42399999999999999</v>
      </c>
      <c r="F7" s="20">
        <v>0.42499999999999999</v>
      </c>
      <c r="G7" s="3"/>
      <c r="H7" s="3">
        <v>0.38500000000000001</v>
      </c>
      <c r="I7" s="3">
        <v>81</v>
      </c>
      <c r="K7" s="3"/>
      <c r="L7" s="3"/>
      <c r="M7" s="3"/>
      <c r="N7" s="3"/>
      <c r="O7" s="3"/>
    </row>
    <row r="8" spans="3:15" ht="49" customHeight="1" x14ac:dyDescent="0.2">
      <c r="C8" s="4" t="s">
        <v>113</v>
      </c>
      <c r="D8" s="21" t="s">
        <v>265</v>
      </c>
      <c r="E8" s="3">
        <v>0.1552</v>
      </c>
      <c r="F8" s="20">
        <v>0.15679999999999999</v>
      </c>
      <c r="G8" s="4"/>
      <c r="H8" s="3">
        <v>0.16</v>
      </c>
      <c r="I8" s="3">
        <v>78</v>
      </c>
      <c r="K8" s="3"/>
      <c r="L8" s="3"/>
      <c r="M8" s="3"/>
      <c r="N8" s="3"/>
      <c r="O8" s="3"/>
    </row>
    <row r="9" spans="3:15" ht="38" customHeight="1" x14ac:dyDescent="0.2">
      <c r="C9" s="4" t="s">
        <v>249</v>
      </c>
      <c r="D9" s="21" t="s">
        <v>266</v>
      </c>
      <c r="E9" s="3"/>
      <c r="F9" s="20">
        <v>0.59199999999999997</v>
      </c>
      <c r="G9" s="3"/>
      <c r="H9" s="3">
        <v>0.4</v>
      </c>
      <c r="I9" s="3">
        <v>97.6</v>
      </c>
      <c r="K9" s="3"/>
      <c r="L9" s="3"/>
      <c r="M9" s="3"/>
      <c r="N9" s="3"/>
      <c r="O9" s="3"/>
    </row>
    <row r="10" spans="3:15" ht="50" customHeight="1" x14ac:dyDescent="0.2">
      <c r="C10" s="4" t="s">
        <v>250</v>
      </c>
      <c r="D10" s="21" t="s">
        <v>267</v>
      </c>
      <c r="E10" s="3"/>
      <c r="F10" s="20">
        <v>0.316</v>
      </c>
      <c r="G10" s="3"/>
      <c r="H10" s="3">
        <v>0.316</v>
      </c>
      <c r="I10" s="3">
        <v>60</v>
      </c>
      <c r="K10" s="3"/>
      <c r="L10" s="3"/>
      <c r="M10" s="3"/>
      <c r="N10" s="3"/>
      <c r="O10" s="3"/>
    </row>
    <row r="11" spans="3:15" ht="40" customHeight="1" x14ac:dyDescent="0.2">
      <c r="C11" s="4" t="s">
        <v>119</v>
      </c>
      <c r="D11" s="21" t="s">
        <v>90</v>
      </c>
      <c r="E11" s="3">
        <v>7.3499999999999998E-3</v>
      </c>
      <c r="F11" s="20">
        <v>7.2199999999999999E-3</v>
      </c>
      <c r="G11" s="4"/>
      <c r="H11" s="3">
        <v>3.5999999999999997E-2</v>
      </c>
      <c r="I11" s="3">
        <v>81.400000000000006</v>
      </c>
      <c r="K11" s="3"/>
      <c r="L11" s="3"/>
      <c r="M11" s="3"/>
      <c r="N11" s="3"/>
      <c r="O11" s="3"/>
    </row>
    <row r="12" spans="3:15" ht="41" customHeight="1" x14ac:dyDescent="0.2">
      <c r="C12" s="4" t="s">
        <v>114</v>
      </c>
      <c r="D12" s="21" t="s">
        <v>268</v>
      </c>
      <c r="E12" s="3">
        <v>0.41399999999999998</v>
      </c>
      <c r="F12" s="20">
        <v>0.41399999999999998</v>
      </c>
      <c r="G12" s="4"/>
      <c r="H12" s="3">
        <v>0.38</v>
      </c>
      <c r="I12" s="3">
        <v>63.6</v>
      </c>
      <c r="K12" s="3"/>
      <c r="L12" s="3"/>
      <c r="M12" s="3"/>
      <c r="N12" s="3"/>
      <c r="O12" s="3"/>
    </row>
    <row r="13" spans="3:15" ht="46" customHeight="1" x14ac:dyDescent="0.2">
      <c r="C13" s="4" t="s">
        <v>111</v>
      </c>
      <c r="D13" s="21" t="s">
        <v>269</v>
      </c>
      <c r="E13" s="3">
        <v>0.437</v>
      </c>
      <c r="F13" s="20">
        <v>0.437</v>
      </c>
      <c r="G13" s="4"/>
      <c r="H13" s="3">
        <v>0.38</v>
      </c>
      <c r="I13" s="3">
        <v>76.8</v>
      </c>
      <c r="K13" s="3"/>
      <c r="L13" s="3"/>
      <c r="M13" s="3"/>
      <c r="N13" s="3"/>
      <c r="O13" s="3"/>
    </row>
    <row r="14" spans="3:15" ht="53" customHeight="1" x14ac:dyDescent="0.2">
      <c r="C14" s="3" t="s">
        <v>252</v>
      </c>
      <c r="D14" s="21" t="s">
        <v>270</v>
      </c>
      <c r="E14" s="3"/>
      <c r="F14" s="20">
        <v>2.8400000000000002E-2</v>
      </c>
      <c r="G14" s="3"/>
      <c r="H14" s="3">
        <v>3.2000000000000001E-2</v>
      </c>
      <c r="I14" s="3">
        <v>81.5</v>
      </c>
      <c r="K14" s="3"/>
      <c r="L14" s="3"/>
      <c r="M14" s="3"/>
      <c r="N14" s="3"/>
      <c r="O14" s="3"/>
    </row>
    <row r="15" spans="3:15" ht="32" customHeight="1" x14ac:dyDescent="0.2">
      <c r="C15" s="4" t="s">
        <v>248</v>
      </c>
      <c r="D15" s="22" t="s">
        <v>104</v>
      </c>
      <c r="E15" s="3"/>
      <c r="F15" s="20">
        <v>5.9400000000000001E-2</v>
      </c>
      <c r="G15" s="3"/>
      <c r="H15" s="3">
        <v>5.5E-2</v>
      </c>
      <c r="I15" s="3">
        <v>28.8</v>
      </c>
      <c r="K15" s="3"/>
      <c r="L15" s="3"/>
      <c r="M15" s="3"/>
      <c r="N15" s="3"/>
      <c r="O15" s="3"/>
    </row>
    <row r="16" spans="3:15" ht="43" customHeight="1" x14ac:dyDescent="0.2">
      <c r="C16" s="4" t="s">
        <v>116</v>
      </c>
      <c r="D16" s="22" t="s">
        <v>105</v>
      </c>
      <c r="E16" s="3">
        <v>2.0500000000000001E-2</v>
      </c>
      <c r="F16" s="20">
        <v>1.9900000000000001E-2</v>
      </c>
      <c r="G16" s="4"/>
      <c r="H16" s="3">
        <v>0.02</v>
      </c>
      <c r="I16" s="3">
        <v>28.6</v>
      </c>
      <c r="K16" s="3"/>
      <c r="L16" s="3"/>
      <c r="M16" s="3"/>
      <c r="N16" s="3"/>
      <c r="O16" s="3"/>
    </row>
    <row r="17" spans="3:15" ht="34" customHeight="1" x14ac:dyDescent="0.2">
      <c r="C17" s="4" t="s">
        <v>118</v>
      </c>
      <c r="D17" s="22" t="s">
        <v>80</v>
      </c>
      <c r="E17" s="4">
        <v>0</v>
      </c>
      <c r="F17" s="20">
        <v>0</v>
      </c>
      <c r="G17" s="3">
        <v>0</v>
      </c>
      <c r="H17" s="3">
        <v>0</v>
      </c>
      <c r="I17" s="3">
        <v>2.6</v>
      </c>
      <c r="K17" s="3"/>
      <c r="L17" s="3"/>
      <c r="M17" s="3"/>
      <c r="N17" s="3"/>
      <c r="O17" s="3"/>
    </row>
    <row r="18" spans="3:15" ht="25" customHeight="1" x14ac:dyDescent="0.2">
      <c r="C18" s="3" t="s">
        <v>251</v>
      </c>
      <c r="D18" s="22" t="s">
        <v>106</v>
      </c>
      <c r="E18" s="3"/>
      <c r="F18" s="20">
        <v>0.41299999999999998</v>
      </c>
      <c r="G18" s="3"/>
      <c r="H18" s="3">
        <v>0.372</v>
      </c>
      <c r="I18" s="3">
        <v>27</v>
      </c>
      <c r="K18" s="3"/>
      <c r="L18" s="3"/>
      <c r="M18" s="3"/>
      <c r="N18" s="3"/>
      <c r="O18" s="3"/>
    </row>
    <row r="19" spans="3:15" ht="25" customHeight="1" x14ac:dyDescent="0.2">
      <c r="C19" s="4" t="s">
        <v>274</v>
      </c>
      <c r="D19" s="21" t="s">
        <v>254</v>
      </c>
      <c r="E19" s="3"/>
      <c r="F19" s="3"/>
      <c r="G19" s="3">
        <v>0.25800000000000001</v>
      </c>
      <c r="H19" s="3">
        <v>0.25</v>
      </c>
      <c r="I19" s="3">
        <v>70</v>
      </c>
      <c r="K19" s="3"/>
      <c r="L19" s="3"/>
      <c r="M19" s="3"/>
      <c r="N19" s="3"/>
      <c r="O19" s="3"/>
    </row>
    <row r="20" spans="3:15" ht="30" customHeight="1" x14ac:dyDescent="0.2">
      <c r="C20" s="4" t="s">
        <v>273</v>
      </c>
      <c r="D20" s="21" t="s">
        <v>255</v>
      </c>
      <c r="E20" s="3"/>
      <c r="F20" s="3"/>
      <c r="G20" s="3">
        <v>0.28199999999999997</v>
      </c>
      <c r="H20" s="3">
        <v>0.27</v>
      </c>
      <c r="I20" s="3">
        <v>68</v>
      </c>
    </row>
    <row r="21" spans="3:15" ht="24" customHeight="1" x14ac:dyDescent="0.2">
      <c r="C21" s="4" t="s">
        <v>272</v>
      </c>
      <c r="D21" s="21" t="s">
        <v>256</v>
      </c>
      <c r="E21" s="3"/>
      <c r="F21" s="3"/>
      <c r="G21" s="3">
        <v>0.24099999999999999</v>
      </c>
      <c r="H21" s="3">
        <v>0.23200000000000001</v>
      </c>
      <c r="I21" s="3">
        <v>72</v>
      </c>
    </row>
    <row r="22" spans="3:15" ht="32" customHeight="1" x14ac:dyDescent="0.2">
      <c r="C22" s="4" t="s">
        <v>275</v>
      </c>
      <c r="D22" s="21" t="s">
        <v>257</v>
      </c>
      <c r="E22" s="3"/>
      <c r="F22" s="3"/>
      <c r="G22" s="3">
        <v>0.15670000000000001</v>
      </c>
      <c r="H22" s="3">
        <v>0.157</v>
      </c>
      <c r="I22" s="3">
        <v>76.7</v>
      </c>
    </row>
    <row r="31" spans="3:15" x14ac:dyDescent="0.2">
      <c r="F31" t="s">
        <v>404</v>
      </c>
      <c r="G31" t="s">
        <v>31</v>
      </c>
      <c r="H31" t="s">
        <v>405</v>
      </c>
    </row>
    <row r="32" spans="3:15" x14ac:dyDescent="0.2">
      <c r="F32" s="20">
        <v>8.0199999999999994E-2</v>
      </c>
      <c r="G32" s="3">
        <v>8.1500000000000003E-2</v>
      </c>
      <c r="H32">
        <f>(F32-G32)^2</f>
        <v>1.6900000000000247E-6</v>
      </c>
    </row>
    <row r="33" spans="4:8" x14ac:dyDescent="0.2">
      <c r="F33" s="20">
        <v>5.11E-2</v>
      </c>
      <c r="G33" s="3">
        <v>5.7000000000000002E-2</v>
      </c>
      <c r="H33">
        <f t="shared" ref="H33:H49" si="0">(F33-G33)^2</f>
        <v>3.4810000000000028E-5</v>
      </c>
    </row>
    <row r="34" spans="4:8" x14ac:dyDescent="0.2">
      <c r="F34" s="20">
        <v>0.42499999999999999</v>
      </c>
      <c r="G34" s="3">
        <v>0.38500000000000001</v>
      </c>
      <c r="H34">
        <f t="shared" si="0"/>
        <v>1.5999999999999983E-3</v>
      </c>
    </row>
    <row r="35" spans="4:8" x14ac:dyDescent="0.2">
      <c r="F35" s="20">
        <v>0.15679999999999999</v>
      </c>
      <c r="G35" s="3">
        <v>0.16</v>
      </c>
      <c r="H35">
        <f t="shared" si="0"/>
        <v>1.0240000000000054E-5</v>
      </c>
    </row>
    <row r="36" spans="4:8" x14ac:dyDescent="0.2">
      <c r="D36" s="20">
        <v>0.59199999999999997</v>
      </c>
      <c r="E36" s="3">
        <v>0.4</v>
      </c>
      <c r="F36" s="20"/>
      <c r="G36" s="3"/>
      <c r="H36">
        <f t="shared" si="0"/>
        <v>0</v>
      </c>
    </row>
    <row r="37" spans="4:8" x14ac:dyDescent="0.2">
      <c r="F37" s="20">
        <v>0.316</v>
      </c>
      <c r="G37" s="3">
        <v>0.316</v>
      </c>
      <c r="H37">
        <f t="shared" si="0"/>
        <v>0</v>
      </c>
    </row>
    <row r="38" spans="4:8" x14ac:dyDescent="0.2">
      <c r="F38" s="20">
        <v>7.2199999999999999E-3</v>
      </c>
      <c r="G38" s="3">
        <v>3.5999999999999997E-2</v>
      </c>
      <c r="H38">
        <f t="shared" si="0"/>
        <v>8.2828839999999975E-4</v>
      </c>
    </row>
    <row r="39" spans="4:8" x14ac:dyDescent="0.2">
      <c r="F39" s="20">
        <v>0.41399999999999998</v>
      </c>
      <c r="G39" s="3">
        <v>0.38</v>
      </c>
      <c r="H39">
        <f t="shared" si="0"/>
        <v>1.1559999999999982E-3</v>
      </c>
    </row>
    <row r="40" spans="4:8" x14ac:dyDescent="0.2">
      <c r="F40" s="20">
        <v>0.437</v>
      </c>
      <c r="G40" s="3">
        <v>0.38</v>
      </c>
      <c r="H40">
        <f t="shared" si="0"/>
        <v>3.2489999999999993E-3</v>
      </c>
    </row>
    <row r="41" spans="4:8" x14ac:dyDescent="0.2">
      <c r="F41" s="20">
        <v>2.8400000000000002E-2</v>
      </c>
      <c r="G41" s="3">
        <v>3.2000000000000001E-2</v>
      </c>
      <c r="H41">
        <f t="shared" si="0"/>
        <v>1.2959999999999993E-5</v>
      </c>
    </row>
    <row r="42" spans="4:8" x14ac:dyDescent="0.2">
      <c r="F42" s="20">
        <v>5.9400000000000001E-2</v>
      </c>
      <c r="G42" s="3">
        <v>5.5E-2</v>
      </c>
      <c r="H42">
        <f t="shared" si="0"/>
        <v>1.9360000000000011E-5</v>
      </c>
    </row>
    <row r="43" spans="4:8" x14ac:dyDescent="0.2">
      <c r="F43" s="20">
        <v>1.9900000000000001E-2</v>
      </c>
      <c r="G43" s="3">
        <v>0.02</v>
      </c>
      <c r="H43">
        <f t="shared" si="0"/>
        <v>9.9999999999998794E-9</v>
      </c>
    </row>
    <row r="44" spans="4:8" x14ac:dyDescent="0.2">
      <c r="F44" s="20">
        <v>0</v>
      </c>
      <c r="G44" s="3">
        <v>0</v>
      </c>
      <c r="H44">
        <f t="shared" si="0"/>
        <v>0</v>
      </c>
    </row>
    <row r="45" spans="4:8" x14ac:dyDescent="0.2">
      <c r="F45" s="20">
        <v>0.41299999999999998</v>
      </c>
      <c r="G45" s="3">
        <v>0.372</v>
      </c>
      <c r="H45">
        <f t="shared" si="0"/>
        <v>1.6809999999999985E-3</v>
      </c>
    </row>
    <row r="46" spans="4:8" x14ac:dyDescent="0.2">
      <c r="F46" s="3">
        <v>0.25800000000000001</v>
      </c>
      <c r="G46" s="3">
        <v>0.25</v>
      </c>
      <c r="H46">
        <f t="shared" si="0"/>
        <v>6.4000000000000119E-5</v>
      </c>
    </row>
    <row r="47" spans="4:8" x14ac:dyDescent="0.2">
      <c r="F47" s="3">
        <v>0.28199999999999997</v>
      </c>
      <c r="G47" s="3">
        <v>0.27</v>
      </c>
      <c r="H47">
        <f t="shared" si="0"/>
        <v>1.4399999999999892E-4</v>
      </c>
    </row>
    <row r="48" spans="4:8" x14ac:dyDescent="0.2">
      <c r="F48" s="3">
        <v>0.24099999999999999</v>
      </c>
      <c r="G48" s="3">
        <v>0.23200000000000001</v>
      </c>
      <c r="H48">
        <f t="shared" si="0"/>
        <v>8.0999999999999638E-5</v>
      </c>
    </row>
    <row r="49" spans="6:8" x14ac:dyDescent="0.2">
      <c r="F49" s="3">
        <v>0.15670000000000001</v>
      </c>
      <c r="G49" s="3">
        <v>0.157</v>
      </c>
      <c r="H49">
        <f t="shared" si="0"/>
        <v>8.9999999999996835E-8</v>
      </c>
    </row>
    <row r="52" spans="6:8" x14ac:dyDescent="0.2">
      <c r="H52" t="s">
        <v>403</v>
      </c>
    </row>
    <row r="53" spans="6:8" x14ac:dyDescent="0.2">
      <c r="H53">
        <f>(AVERAGE(H32:H49))^0.5</f>
        <v>2.2214170152304924E-2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B97-7967-F042-9D2A-B0527E22E1CB}">
  <dimension ref="A2:O71"/>
  <sheetViews>
    <sheetView workbookViewId="0">
      <selection activeCell="A25" sqref="A25"/>
    </sheetView>
  </sheetViews>
  <sheetFormatPr baseColWidth="10" defaultRowHeight="16" x14ac:dyDescent="0.2"/>
  <sheetData>
    <row r="2" spans="1:15" x14ac:dyDescent="0.2">
      <c r="A2" t="s">
        <v>130</v>
      </c>
      <c r="E2" t="s">
        <v>131</v>
      </c>
      <c r="F2" t="s">
        <v>132</v>
      </c>
    </row>
    <row r="3" spans="1:15" x14ac:dyDescent="0.2">
      <c r="A3">
        <v>3</v>
      </c>
      <c r="B3">
        <v>2535</v>
      </c>
      <c r="C3">
        <v>0.437</v>
      </c>
      <c r="D3" t="s">
        <v>111</v>
      </c>
    </row>
    <row r="4" spans="1:15" x14ac:dyDescent="0.2">
      <c r="A4">
        <v>4</v>
      </c>
      <c r="B4">
        <v>2534</v>
      </c>
      <c r="C4">
        <v>0.42399999999999999</v>
      </c>
      <c r="D4" t="s">
        <v>112</v>
      </c>
    </row>
    <row r="5" spans="1:15" x14ac:dyDescent="0.2">
      <c r="A5">
        <v>5</v>
      </c>
      <c r="B5">
        <v>2532</v>
      </c>
    </row>
    <row r="6" spans="1:15" x14ac:dyDescent="0.2">
      <c r="A6">
        <v>6</v>
      </c>
      <c r="B6" s="6">
        <v>2531</v>
      </c>
      <c r="C6">
        <v>0.1552</v>
      </c>
      <c r="D6" t="s">
        <v>113</v>
      </c>
      <c r="N6" t="s">
        <v>0</v>
      </c>
      <c r="O6" t="s">
        <v>77</v>
      </c>
    </row>
    <row r="7" spans="1:15" x14ac:dyDescent="0.2">
      <c r="A7">
        <v>7</v>
      </c>
      <c r="B7" s="6">
        <v>2533</v>
      </c>
      <c r="C7">
        <v>0.41399999999999998</v>
      </c>
      <c r="D7" t="s">
        <v>114</v>
      </c>
      <c r="N7">
        <v>2398</v>
      </c>
      <c r="O7">
        <v>0</v>
      </c>
    </row>
    <row r="8" spans="1:15" x14ac:dyDescent="0.2">
      <c r="A8">
        <v>8</v>
      </c>
      <c r="B8" s="6">
        <v>2530</v>
      </c>
      <c r="C8">
        <v>7.9600000000000004E-2</v>
      </c>
      <c r="D8" t="s">
        <v>115</v>
      </c>
      <c r="N8">
        <v>2399</v>
      </c>
      <c r="O8">
        <v>0</v>
      </c>
    </row>
    <row r="9" spans="1:15" x14ac:dyDescent="0.2">
      <c r="A9">
        <v>9</v>
      </c>
      <c r="B9" s="6">
        <v>2528</v>
      </c>
      <c r="C9">
        <v>2.205E-2</v>
      </c>
      <c r="D9" t="s">
        <v>116</v>
      </c>
      <c r="N9">
        <v>2408</v>
      </c>
      <c r="O9">
        <v>0</v>
      </c>
    </row>
    <row r="10" spans="1:15" x14ac:dyDescent="0.2">
      <c r="A10">
        <v>10</v>
      </c>
      <c r="B10" s="6">
        <v>2529</v>
      </c>
      <c r="C10">
        <v>5.11E-2</v>
      </c>
      <c r="D10" t="s">
        <v>117</v>
      </c>
      <c r="I10" t="s">
        <v>65</v>
      </c>
      <c r="J10" t="s">
        <v>66</v>
      </c>
      <c r="N10">
        <v>2421</v>
      </c>
      <c r="O10">
        <v>0</v>
      </c>
    </row>
    <row r="11" spans="1:15" x14ac:dyDescent="0.2">
      <c r="A11">
        <f>A10+1</f>
        <v>11</v>
      </c>
      <c r="B11" s="6">
        <v>2527</v>
      </c>
      <c r="C11">
        <v>0</v>
      </c>
      <c r="D11" t="s">
        <v>118</v>
      </c>
      <c r="H11">
        <f>I11/10</f>
        <v>1.0999999999999999E-2</v>
      </c>
      <c r="I11">
        <v>0.11</v>
      </c>
      <c r="J11">
        <v>39.5</v>
      </c>
      <c r="N11">
        <v>2420</v>
      </c>
      <c r="O11">
        <v>0</v>
      </c>
    </row>
    <row r="12" spans="1:15" x14ac:dyDescent="0.2">
      <c r="A12">
        <f t="shared" ref="A12:A71" si="0">A11+1</f>
        <v>12</v>
      </c>
      <c r="B12" s="6">
        <v>2525</v>
      </c>
      <c r="C12">
        <v>7.3499999999999998E-3</v>
      </c>
      <c r="D12" t="s">
        <v>119</v>
      </c>
      <c r="H12">
        <f t="shared" ref="H12:H24" si="1">I12/10</f>
        <v>3.5999999999999997E-2</v>
      </c>
      <c r="I12">
        <v>0.36</v>
      </c>
      <c r="J12">
        <v>39.299999999999997</v>
      </c>
      <c r="N12">
        <v>2416</v>
      </c>
      <c r="O12">
        <v>0</v>
      </c>
    </row>
    <row r="13" spans="1:15" x14ac:dyDescent="0.2">
      <c r="A13">
        <f t="shared" si="0"/>
        <v>13</v>
      </c>
      <c r="B13" s="6">
        <v>2526</v>
      </c>
      <c r="H13">
        <f t="shared" si="1"/>
        <v>0.10100000000000001</v>
      </c>
      <c r="I13">
        <v>1.01</v>
      </c>
      <c r="J13">
        <v>37.5</v>
      </c>
      <c r="N13">
        <v>2417</v>
      </c>
      <c r="O13">
        <v>0</v>
      </c>
    </row>
    <row r="14" spans="1:15" x14ac:dyDescent="0.2">
      <c r="A14">
        <f t="shared" si="0"/>
        <v>14</v>
      </c>
      <c r="B14" s="6">
        <v>2521</v>
      </c>
      <c r="C14">
        <v>0.42399999999999999</v>
      </c>
      <c r="D14" t="s">
        <v>112</v>
      </c>
      <c r="H14">
        <f t="shared" si="1"/>
        <v>0.126</v>
      </c>
      <c r="I14">
        <v>1.26</v>
      </c>
      <c r="J14">
        <v>36.5</v>
      </c>
      <c r="N14">
        <v>2535</v>
      </c>
      <c r="O14">
        <v>0.437</v>
      </c>
    </row>
    <row r="15" spans="1:15" x14ac:dyDescent="0.2">
      <c r="A15">
        <f t="shared" si="0"/>
        <v>15</v>
      </c>
      <c r="B15" s="6">
        <v>2522</v>
      </c>
      <c r="C15">
        <v>0.437</v>
      </c>
      <c r="D15" t="s">
        <v>111</v>
      </c>
      <c r="H15">
        <f t="shared" si="1"/>
        <v>0.20099999999999998</v>
      </c>
      <c r="I15">
        <v>2.0099999999999998</v>
      </c>
      <c r="J15">
        <v>33.1</v>
      </c>
      <c r="N15">
        <v>2534</v>
      </c>
      <c r="O15">
        <v>0.42399999999999999</v>
      </c>
    </row>
    <row r="16" spans="1:15" x14ac:dyDescent="0.2">
      <c r="A16">
        <f t="shared" si="0"/>
        <v>16</v>
      </c>
      <c r="B16" s="6">
        <v>2520</v>
      </c>
      <c r="C16">
        <v>0.41399999999999998</v>
      </c>
      <c r="D16" t="s">
        <v>114</v>
      </c>
      <c r="H16">
        <f t="shared" si="1"/>
        <v>0.30599999999999999</v>
      </c>
      <c r="I16">
        <v>3.06</v>
      </c>
      <c r="J16">
        <v>29</v>
      </c>
      <c r="N16">
        <v>2531</v>
      </c>
      <c r="O16">
        <v>0.1552</v>
      </c>
    </row>
    <row r="17" spans="1:15" x14ac:dyDescent="0.2">
      <c r="A17">
        <f t="shared" si="0"/>
        <v>17</v>
      </c>
      <c r="B17" s="6">
        <v>2519</v>
      </c>
      <c r="C17">
        <v>0.1552</v>
      </c>
      <c r="D17" t="s">
        <v>113</v>
      </c>
      <c r="H17">
        <f t="shared" si="1"/>
        <v>0.4</v>
      </c>
      <c r="I17">
        <v>4</v>
      </c>
      <c r="J17">
        <v>26.1</v>
      </c>
      <c r="N17">
        <v>2533</v>
      </c>
      <c r="O17">
        <v>0.41399999999999998</v>
      </c>
    </row>
    <row r="18" spans="1:15" x14ac:dyDescent="0.2">
      <c r="A18">
        <f t="shared" si="0"/>
        <v>18</v>
      </c>
      <c r="B18" s="6">
        <v>2518</v>
      </c>
      <c r="C18">
        <v>7.9600000000000004E-2</v>
      </c>
      <c r="D18" t="s">
        <v>115</v>
      </c>
      <c r="H18">
        <f t="shared" si="1"/>
        <v>0.5</v>
      </c>
      <c r="I18">
        <v>5</v>
      </c>
      <c r="J18">
        <v>24</v>
      </c>
      <c r="N18">
        <v>2530</v>
      </c>
      <c r="O18">
        <v>7.9600000000000004E-2</v>
      </c>
    </row>
    <row r="19" spans="1:15" x14ac:dyDescent="0.2">
      <c r="A19">
        <f t="shared" si="0"/>
        <v>19</v>
      </c>
      <c r="B19" s="6">
        <v>2517</v>
      </c>
      <c r="C19">
        <v>5.11E-2</v>
      </c>
      <c r="D19" t="s">
        <v>117</v>
      </c>
      <c r="H19">
        <f t="shared" si="1"/>
        <v>0.6</v>
      </c>
      <c r="I19">
        <v>6</v>
      </c>
      <c r="J19">
        <v>22.2</v>
      </c>
      <c r="N19">
        <v>2528</v>
      </c>
      <c r="O19">
        <v>2.0500000000000001E-2</v>
      </c>
    </row>
    <row r="20" spans="1:15" x14ac:dyDescent="0.2">
      <c r="A20">
        <f t="shared" si="0"/>
        <v>20</v>
      </c>
      <c r="B20" s="6">
        <v>2516</v>
      </c>
      <c r="C20">
        <v>2.0500000000000001E-2</v>
      </c>
      <c r="D20" t="s">
        <v>121</v>
      </c>
      <c r="H20">
        <f t="shared" si="1"/>
        <v>0.7</v>
      </c>
      <c r="I20">
        <v>7</v>
      </c>
      <c r="J20">
        <v>21</v>
      </c>
      <c r="N20">
        <v>2529</v>
      </c>
      <c r="O20">
        <v>5.11E-2</v>
      </c>
    </row>
    <row r="21" spans="1:15" x14ac:dyDescent="0.2">
      <c r="A21">
        <f t="shared" si="0"/>
        <v>21</v>
      </c>
      <c r="B21" s="6">
        <v>2515</v>
      </c>
      <c r="C21">
        <v>7.3499999999999998E-3</v>
      </c>
      <c r="D21" t="s">
        <v>119</v>
      </c>
      <c r="H21">
        <f t="shared" si="1"/>
        <v>0.8</v>
      </c>
      <c r="I21">
        <v>8</v>
      </c>
      <c r="J21">
        <v>20</v>
      </c>
      <c r="N21">
        <v>2527</v>
      </c>
      <c r="O21">
        <v>0</v>
      </c>
    </row>
    <row r="22" spans="1:15" x14ac:dyDescent="0.2">
      <c r="A22">
        <f t="shared" si="0"/>
        <v>22</v>
      </c>
      <c r="B22" s="6">
        <v>2513</v>
      </c>
      <c r="H22">
        <f t="shared" si="1"/>
        <v>0.9</v>
      </c>
      <c r="I22">
        <v>9</v>
      </c>
      <c r="J22">
        <v>19.3</v>
      </c>
      <c r="N22">
        <v>2525</v>
      </c>
      <c r="O22">
        <v>7.3499999999999998E-3</v>
      </c>
    </row>
    <row r="23" spans="1:15" x14ac:dyDescent="0.2">
      <c r="A23">
        <f t="shared" si="0"/>
        <v>23</v>
      </c>
      <c r="B23" s="6">
        <v>2514</v>
      </c>
      <c r="C23">
        <v>0</v>
      </c>
      <c r="D23" t="s">
        <v>118</v>
      </c>
      <c r="H23">
        <f t="shared" si="1"/>
        <v>1</v>
      </c>
      <c r="I23">
        <v>10</v>
      </c>
      <c r="J23">
        <v>18.7</v>
      </c>
      <c r="N23">
        <v>2521</v>
      </c>
      <c r="O23">
        <v>0.42399999999999999</v>
      </c>
    </row>
    <row r="24" spans="1:15" x14ac:dyDescent="0.2">
      <c r="A24">
        <f t="shared" si="0"/>
        <v>24</v>
      </c>
      <c r="B24" s="8">
        <v>2508</v>
      </c>
      <c r="E24">
        <v>8</v>
      </c>
      <c r="F24" t="s">
        <v>81</v>
      </c>
      <c r="H24">
        <f t="shared" si="1"/>
        <v>1.246</v>
      </c>
      <c r="I24">
        <v>12.46</v>
      </c>
      <c r="J24">
        <v>17.8</v>
      </c>
      <c r="N24">
        <v>2522</v>
      </c>
      <c r="O24">
        <v>0.437</v>
      </c>
    </row>
    <row r="25" spans="1:15" x14ac:dyDescent="0.2">
      <c r="A25">
        <f t="shared" si="0"/>
        <v>25</v>
      </c>
      <c r="B25" s="8">
        <v>2507</v>
      </c>
      <c r="D25" t="s">
        <v>111</v>
      </c>
      <c r="E25">
        <v>8</v>
      </c>
      <c r="F25" t="s">
        <v>81</v>
      </c>
      <c r="N25">
        <v>2520</v>
      </c>
      <c r="O25">
        <v>0.41399999999999998</v>
      </c>
    </row>
    <row r="26" spans="1:15" x14ac:dyDescent="0.2">
      <c r="A26">
        <f t="shared" si="0"/>
        <v>26</v>
      </c>
      <c r="B26" s="8">
        <v>2506</v>
      </c>
      <c r="D26" t="s">
        <v>112</v>
      </c>
      <c r="E26">
        <v>8</v>
      </c>
      <c r="F26" t="s">
        <v>81</v>
      </c>
      <c r="N26">
        <v>2519</v>
      </c>
      <c r="O26">
        <v>0.1552</v>
      </c>
    </row>
    <row r="27" spans="1:15" x14ac:dyDescent="0.2">
      <c r="A27">
        <f t="shared" si="0"/>
        <v>27</v>
      </c>
      <c r="B27" s="8">
        <v>2505</v>
      </c>
      <c r="D27" t="s">
        <v>114</v>
      </c>
      <c r="E27">
        <v>8</v>
      </c>
      <c r="F27" t="s">
        <v>81</v>
      </c>
      <c r="N27">
        <v>2518</v>
      </c>
      <c r="O27">
        <v>7.9600000000000004E-2</v>
      </c>
    </row>
    <row r="28" spans="1:15" x14ac:dyDescent="0.2">
      <c r="A28">
        <f t="shared" si="0"/>
        <v>28</v>
      </c>
      <c r="B28" s="8">
        <v>2504</v>
      </c>
      <c r="D28" t="s">
        <v>113</v>
      </c>
      <c r="E28">
        <v>8</v>
      </c>
      <c r="F28" t="s">
        <v>81</v>
      </c>
      <c r="N28">
        <v>2517</v>
      </c>
      <c r="O28">
        <v>5.11E-2</v>
      </c>
    </row>
    <row r="29" spans="1:15" x14ac:dyDescent="0.2">
      <c r="A29">
        <f t="shared" si="0"/>
        <v>29</v>
      </c>
      <c r="B29" s="8">
        <v>2502</v>
      </c>
      <c r="D29" t="s">
        <v>117</v>
      </c>
      <c r="E29">
        <v>8</v>
      </c>
      <c r="F29" t="s">
        <v>81</v>
      </c>
      <c r="N29">
        <v>2516</v>
      </c>
      <c r="O29">
        <v>2.0500000000000001E-2</v>
      </c>
    </row>
    <row r="30" spans="1:15" x14ac:dyDescent="0.2">
      <c r="A30">
        <f t="shared" si="0"/>
        <v>30</v>
      </c>
      <c r="B30" s="8">
        <v>2503</v>
      </c>
      <c r="D30" t="s">
        <v>115</v>
      </c>
      <c r="E30">
        <v>8</v>
      </c>
      <c r="F30" t="s">
        <v>81</v>
      </c>
      <c r="N30">
        <v>2515</v>
      </c>
      <c r="O30">
        <v>7.3499999999999998E-3</v>
      </c>
    </row>
    <row r="31" spans="1:15" x14ac:dyDescent="0.2">
      <c r="A31">
        <f t="shared" si="0"/>
        <v>31</v>
      </c>
      <c r="B31" s="8">
        <v>2500</v>
      </c>
      <c r="D31" t="s">
        <v>119</v>
      </c>
      <c r="E31">
        <v>8</v>
      </c>
      <c r="F31" t="s">
        <v>81</v>
      </c>
      <c r="N31">
        <v>2514</v>
      </c>
      <c r="O31">
        <v>0</v>
      </c>
    </row>
    <row r="32" spans="1:15" x14ac:dyDescent="0.2">
      <c r="A32">
        <f t="shared" si="0"/>
        <v>32</v>
      </c>
      <c r="B32" s="8">
        <v>2501</v>
      </c>
      <c r="D32" t="s">
        <v>116</v>
      </c>
      <c r="E32">
        <v>8</v>
      </c>
      <c r="F32" t="s">
        <v>81</v>
      </c>
    </row>
    <row r="33" spans="1:6" x14ac:dyDescent="0.2">
      <c r="A33">
        <f t="shared" si="0"/>
        <v>33</v>
      </c>
      <c r="B33" s="8">
        <v>2499</v>
      </c>
      <c r="D33" t="s">
        <v>122</v>
      </c>
      <c r="E33">
        <v>8</v>
      </c>
      <c r="F33" t="s">
        <v>81</v>
      </c>
    </row>
    <row r="34" spans="1:6" x14ac:dyDescent="0.2">
      <c r="A34">
        <f t="shared" si="0"/>
        <v>34</v>
      </c>
      <c r="B34" s="8">
        <v>2498</v>
      </c>
      <c r="E34">
        <v>8</v>
      </c>
      <c r="F34" t="s">
        <v>81</v>
      </c>
    </row>
    <row r="35" spans="1:6" x14ac:dyDescent="0.2">
      <c r="A35">
        <f t="shared" si="0"/>
        <v>35</v>
      </c>
      <c r="B35" s="8">
        <v>2497</v>
      </c>
      <c r="E35">
        <v>8</v>
      </c>
      <c r="F35" t="s">
        <v>81</v>
      </c>
    </row>
    <row r="36" spans="1:6" x14ac:dyDescent="0.2">
      <c r="A36">
        <f t="shared" si="0"/>
        <v>36</v>
      </c>
      <c r="B36">
        <v>2496</v>
      </c>
    </row>
    <row r="37" spans="1:6" x14ac:dyDescent="0.2">
      <c r="A37">
        <f t="shared" si="0"/>
        <v>37</v>
      </c>
      <c r="B37">
        <v>2494</v>
      </c>
    </row>
    <row r="38" spans="1:6" x14ac:dyDescent="0.2">
      <c r="A38">
        <f t="shared" si="0"/>
        <v>38</v>
      </c>
      <c r="B38">
        <v>2495</v>
      </c>
    </row>
    <row r="39" spans="1:6" x14ac:dyDescent="0.2">
      <c r="A39">
        <f t="shared" si="0"/>
        <v>39</v>
      </c>
      <c r="B39">
        <v>2493</v>
      </c>
    </row>
    <row r="40" spans="1:6" x14ac:dyDescent="0.2">
      <c r="A40">
        <f t="shared" si="0"/>
        <v>40</v>
      </c>
      <c r="B40" s="6">
        <v>2490</v>
      </c>
      <c r="D40" t="s">
        <v>123</v>
      </c>
    </row>
    <row r="41" spans="1:6" x14ac:dyDescent="0.2">
      <c r="A41">
        <f t="shared" si="0"/>
        <v>41</v>
      </c>
      <c r="B41" s="6">
        <v>2489</v>
      </c>
      <c r="D41" t="s">
        <v>124</v>
      </c>
    </row>
    <row r="42" spans="1:6" x14ac:dyDescent="0.2">
      <c r="A42">
        <f t="shared" si="0"/>
        <v>42</v>
      </c>
      <c r="B42" s="6">
        <v>2488</v>
      </c>
      <c r="D42" t="s">
        <v>114</v>
      </c>
    </row>
    <row r="43" spans="1:6" x14ac:dyDescent="0.2">
      <c r="A43">
        <f t="shared" si="0"/>
        <v>43</v>
      </c>
      <c r="B43" s="6">
        <v>2487</v>
      </c>
      <c r="D43" t="s">
        <v>113</v>
      </c>
    </row>
    <row r="44" spans="1:6" x14ac:dyDescent="0.2">
      <c r="A44">
        <f t="shared" si="0"/>
        <v>44</v>
      </c>
      <c r="B44" s="6">
        <v>2486</v>
      </c>
      <c r="D44" t="s">
        <v>115</v>
      </c>
    </row>
    <row r="45" spans="1:6" x14ac:dyDescent="0.2">
      <c r="A45">
        <f t="shared" si="0"/>
        <v>45</v>
      </c>
      <c r="B45">
        <v>2485</v>
      </c>
      <c r="D45" t="s">
        <v>125</v>
      </c>
    </row>
    <row r="46" spans="1:6" x14ac:dyDescent="0.2">
      <c r="A46">
        <f t="shared" si="0"/>
        <v>46</v>
      </c>
      <c r="B46">
        <v>2484</v>
      </c>
      <c r="D46" t="s">
        <v>116</v>
      </c>
    </row>
    <row r="47" spans="1:6" x14ac:dyDescent="0.2">
      <c r="A47">
        <f t="shared" si="0"/>
        <v>47</v>
      </c>
      <c r="B47">
        <v>2483</v>
      </c>
      <c r="D47" t="s">
        <v>119</v>
      </c>
    </row>
    <row r="48" spans="1:6" x14ac:dyDescent="0.2">
      <c r="A48">
        <f t="shared" si="0"/>
        <v>48</v>
      </c>
      <c r="B48">
        <v>2482</v>
      </c>
    </row>
    <row r="49" spans="1:5" x14ac:dyDescent="0.2">
      <c r="A49">
        <f t="shared" si="0"/>
        <v>49</v>
      </c>
      <c r="B49">
        <v>2481</v>
      </c>
      <c r="D49" t="s">
        <v>118</v>
      </c>
    </row>
    <row r="50" spans="1:5" x14ac:dyDescent="0.2">
      <c r="A50">
        <f t="shared" si="0"/>
        <v>50</v>
      </c>
      <c r="B50">
        <v>2480</v>
      </c>
    </row>
    <row r="51" spans="1:5" x14ac:dyDescent="0.2">
      <c r="A51">
        <f t="shared" si="0"/>
        <v>51</v>
      </c>
      <c r="B51">
        <v>2479</v>
      </c>
    </row>
    <row r="52" spans="1:5" x14ac:dyDescent="0.2">
      <c r="A52">
        <f t="shared" si="0"/>
        <v>52</v>
      </c>
      <c r="B52" s="7">
        <v>2477</v>
      </c>
    </row>
    <row r="53" spans="1:5" x14ac:dyDescent="0.2">
      <c r="A53">
        <f t="shared" si="0"/>
        <v>53</v>
      </c>
      <c r="B53">
        <v>2474</v>
      </c>
      <c r="D53" t="s">
        <v>111</v>
      </c>
    </row>
    <row r="54" spans="1:5" x14ac:dyDescent="0.2">
      <c r="A54">
        <f t="shared" si="0"/>
        <v>54</v>
      </c>
      <c r="B54">
        <v>2472</v>
      </c>
      <c r="D54" t="s">
        <v>114</v>
      </c>
    </row>
    <row r="55" spans="1:5" x14ac:dyDescent="0.2">
      <c r="A55">
        <f t="shared" si="0"/>
        <v>55</v>
      </c>
      <c r="B55">
        <v>2473</v>
      </c>
      <c r="D55" t="s">
        <v>112</v>
      </c>
    </row>
    <row r="56" spans="1:5" x14ac:dyDescent="0.2">
      <c r="A56">
        <f t="shared" si="0"/>
        <v>56</v>
      </c>
      <c r="B56">
        <v>2470</v>
      </c>
      <c r="D56" t="s">
        <v>126</v>
      </c>
    </row>
    <row r="57" spans="1:5" x14ac:dyDescent="0.2">
      <c r="A57">
        <f t="shared" si="0"/>
        <v>57</v>
      </c>
      <c r="B57">
        <v>2471</v>
      </c>
      <c r="D57" t="s">
        <v>127</v>
      </c>
    </row>
    <row r="58" spans="1:5" x14ac:dyDescent="0.2">
      <c r="A58">
        <f t="shared" si="0"/>
        <v>58</v>
      </c>
      <c r="B58">
        <v>2469</v>
      </c>
      <c r="D58" t="s">
        <v>125</v>
      </c>
    </row>
    <row r="59" spans="1:5" x14ac:dyDescent="0.2">
      <c r="A59">
        <f t="shared" si="0"/>
        <v>59</v>
      </c>
      <c r="B59">
        <v>2468</v>
      </c>
      <c r="D59" t="s">
        <v>116</v>
      </c>
    </row>
    <row r="60" spans="1:5" x14ac:dyDescent="0.2">
      <c r="A60">
        <f t="shared" si="0"/>
        <v>60</v>
      </c>
      <c r="B60">
        <v>2467</v>
      </c>
      <c r="D60" t="s">
        <v>119</v>
      </c>
    </row>
    <row r="61" spans="1:5" x14ac:dyDescent="0.2">
      <c r="A61">
        <f t="shared" si="0"/>
        <v>61</v>
      </c>
      <c r="B61">
        <v>2466</v>
      </c>
      <c r="D61" t="s">
        <v>118</v>
      </c>
    </row>
    <row r="62" spans="1:5" x14ac:dyDescent="0.2">
      <c r="A62" s="9">
        <f t="shared" si="0"/>
        <v>62</v>
      </c>
      <c r="B62" s="9">
        <v>2462</v>
      </c>
      <c r="C62" s="9"/>
      <c r="D62" s="9" t="s">
        <v>124</v>
      </c>
      <c r="E62" s="9" t="s">
        <v>133</v>
      </c>
    </row>
    <row r="63" spans="1:5" x14ac:dyDescent="0.2">
      <c r="A63">
        <f t="shared" si="0"/>
        <v>63</v>
      </c>
      <c r="B63">
        <v>2461</v>
      </c>
      <c r="D63" t="s">
        <v>117</v>
      </c>
    </row>
    <row r="64" spans="1:5" x14ac:dyDescent="0.2">
      <c r="A64" s="9">
        <f t="shared" si="0"/>
        <v>64</v>
      </c>
      <c r="B64" s="9">
        <v>2460</v>
      </c>
      <c r="C64" s="9"/>
      <c r="D64" s="9" t="s">
        <v>111</v>
      </c>
      <c r="E64" s="9" t="s">
        <v>133</v>
      </c>
    </row>
    <row r="65" spans="1:5" x14ac:dyDescent="0.2">
      <c r="A65" s="10">
        <f t="shared" si="0"/>
        <v>65</v>
      </c>
      <c r="B65" s="10">
        <v>2459</v>
      </c>
      <c r="C65" s="10"/>
      <c r="D65" s="10" t="s">
        <v>113</v>
      </c>
      <c r="E65" s="10" t="s">
        <v>133</v>
      </c>
    </row>
    <row r="66" spans="1:5" x14ac:dyDescent="0.2">
      <c r="A66" s="9">
        <f t="shared" si="0"/>
        <v>66</v>
      </c>
      <c r="B66" s="9">
        <v>2458</v>
      </c>
      <c r="C66" s="9"/>
      <c r="D66" s="9" t="s">
        <v>114</v>
      </c>
      <c r="E66" s="9" t="s">
        <v>133</v>
      </c>
    </row>
    <row r="67" spans="1:5" x14ac:dyDescent="0.2">
      <c r="A67">
        <f t="shared" si="0"/>
        <v>67</v>
      </c>
      <c r="B67">
        <v>2456</v>
      </c>
      <c r="D67" t="s">
        <v>119</v>
      </c>
    </row>
    <row r="68" spans="1:5" x14ac:dyDescent="0.2">
      <c r="A68">
        <f t="shared" si="0"/>
        <v>68</v>
      </c>
      <c r="B68">
        <v>2457</v>
      </c>
      <c r="D68" t="s">
        <v>115</v>
      </c>
    </row>
    <row r="69" spans="1:5" x14ac:dyDescent="0.2">
      <c r="A69">
        <f t="shared" si="0"/>
        <v>69</v>
      </c>
      <c r="B69">
        <v>2455</v>
      </c>
      <c r="D69" t="s">
        <v>128</v>
      </c>
    </row>
    <row r="70" spans="1:5" x14ac:dyDescent="0.2">
      <c r="A70">
        <f t="shared" si="0"/>
        <v>70</v>
      </c>
      <c r="B70">
        <v>2454</v>
      </c>
    </row>
    <row r="71" spans="1:5" x14ac:dyDescent="0.2">
      <c r="A71">
        <f t="shared" si="0"/>
        <v>71</v>
      </c>
      <c r="B71">
        <v>2453</v>
      </c>
      <c r="D71" t="s">
        <v>129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3016-3C20-5040-8D7B-30547EFBF698}">
  <dimension ref="A2:K136"/>
  <sheetViews>
    <sheetView zoomScaleNormal="100" workbookViewId="0">
      <selection activeCell="C67" sqref="C67"/>
    </sheetView>
  </sheetViews>
  <sheetFormatPr baseColWidth="10" defaultRowHeight="16" x14ac:dyDescent="0.2"/>
  <cols>
    <col min="1" max="1" width="14" customWidth="1"/>
    <col min="2" max="2" width="18.33203125" customWidth="1"/>
    <col min="3" max="3" width="13" customWidth="1"/>
  </cols>
  <sheetData>
    <row r="2" spans="1:11" x14ac:dyDescent="0.2">
      <c r="B2" t="s">
        <v>224</v>
      </c>
      <c r="D2" t="s">
        <v>223</v>
      </c>
      <c r="E2" t="s">
        <v>83</v>
      </c>
      <c r="F2" t="s">
        <v>231</v>
      </c>
      <c r="H2" t="s">
        <v>406</v>
      </c>
      <c r="J2" t="s">
        <v>146</v>
      </c>
      <c r="K2" t="s">
        <v>147</v>
      </c>
    </row>
    <row r="3" spans="1:11" x14ac:dyDescent="0.2">
      <c r="A3" s="13"/>
      <c r="B3">
        <v>2535</v>
      </c>
      <c r="C3" t="s">
        <v>111</v>
      </c>
      <c r="D3" s="1">
        <v>45027</v>
      </c>
      <c r="E3">
        <v>0.437</v>
      </c>
      <c r="H3">
        <v>3</v>
      </c>
      <c r="J3" t="s">
        <v>81</v>
      </c>
      <c r="K3">
        <v>20</v>
      </c>
    </row>
    <row r="4" spans="1:11" x14ac:dyDescent="0.2">
      <c r="A4" s="13"/>
      <c r="B4">
        <v>2534</v>
      </c>
      <c r="C4" t="s">
        <v>112</v>
      </c>
      <c r="D4" s="1">
        <v>45027</v>
      </c>
      <c r="E4">
        <v>0.42399999999999999</v>
      </c>
      <c r="H4">
        <f>H3+1</f>
        <v>4</v>
      </c>
      <c r="J4" t="s">
        <v>81</v>
      </c>
      <c r="K4">
        <v>20</v>
      </c>
    </row>
    <row r="5" spans="1:11" x14ac:dyDescent="0.2">
      <c r="A5" s="13"/>
      <c r="B5">
        <v>2531</v>
      </c>
      <c r="C5" t="s">
        <v>113</v>
      </c>
      <c r="D5" t="s">
        <v>155</v>
      </c>
      <c r="E5">
        <v>0.1552</v>
      </c>
      <c r="H5">
        <f t="shared" ref="H5:H68" si="0">H4+1</f>
        <v>5</v>
      </c>
      <c r="J5" t="s">
        <v>81</v>
      </c>
      <c r="K5">
        <v>20</v>
      </c>
    </row>
    <row r="6" spans="1:11" x14ac:dyDescent="0.2">
      <c r="A6" s="13"/>
      <c r="B6">
        <v>2533</v>
      </c>
      <c r="C6" t="s">
        <v>114</v>
      </c>
      <c r="D6" t="s">
        <v>155</v>
      </c>
      <c r="E6">
        <v>0.41399999999999998</v>
      </c>
      <c r="H6">
        <f t="shared" si="0"/>
        <v>6</v>
      </c>
      <c r="J6" t="s">
        <v>81</v>
      </c>
      <c r="K6">
        <v>20</v>
      </c>
    </row>
    <row r="7" spans="1:11" x14ac:dyDescent="0.2">
      <c r="A7" s="13"/>
      <c r="B7">
        <v>2530</v>
      </c>
      <c r="C7" t="s">
        <v>115</v>
      </c>
      <c r="D7" t="s">
        <v>155</v>
      </c>
      <c r="E7">
        <v>7.9600000000000004E-2</v>
      </c>
      <c r="H7">
        <f t="shared" si="0"/>
        <v>7</v>
      </c>
      <c r="J7" t="s">
        <v>81</v>
      </c>
      <c r="K7">
        <v>20</v>
      </c>
    </row>
    <row r="8" spans="1:11" x14ac:dyDescent="0.2">
      <c r="A8" s="13"/>
      <c r="B8">
        <v>2528</v>
      </c>
      <c r="C8" t="s">
        <v>116</v>
      </c>
      <c r="D8" t="s">
        <v>155</v>
      </c>
      <c r="E8">
        <v>7.0000000000000001E-3</v>
      </c>
      <c r="F8">
        <v>2.0500000000000001E-2</v>
      </c>
      <c r="H8">
        <f t="shared" si="0"/>
        <v>8</v>
      </c>
      <c r="J8" t="s">
        <v>81</v>
      </c>
      <c r="K8">
        <v>20</v>
      </c>
    </row>
    <row r="9" spans="1:11" x14ac:dyDescent="0.2">
      <c r="A9" s="13"/>
      <c r="B9">
        <v>2529</v>
      </c>
      <c r="C9" t="s">
        <v>117</v>
      </c>
      <c r="D9" t="s">
        <v>155</v>
      </c>
      <c r="E9">
        <v>5.11E-2</v>
      </c>
      <c r="H9">
        <f t="shared" si="0"/>
        <v>9</v>
      </c>
      <c r="J9" t="s">
        <v>81</v>
      </c>
      <c r="K9">
        <v>20</v>
      </c>
    </row>
    <row r="10" spans="1:11" x14ac:dyDescent="0.2">
      <c r="A10" s="13"/>
      <c r="B10">
        <v>2527</v>
      </c>
      <c r="C10" t="s">
        <v>118</v>
      </c>
      <c r="D10" t="s">
        <v>155</v>
      </c>
      <c r="E10">
        <v>0</v>
      </c>
      <c r="H10">
        <f t="shared" si="0"/>
        <v>10</v>
      </c>
      <c r="J10" t="s">
        <v>81</v>
      </c>
      <c r="K10">
        <v>20</v>
      </c>
    </row>
    <row r="11" spans="1:11" x14ac:dyDescent="0.2">
      <c r="A11" s="13"/>
      <c r="B11">
        <v>2525</v>
      </c>
      <c r="C11" t="s">
        <v>119</v>
      </c>
      <c r="D11" t="s">
        <v>155</v>
      </c>
      <c r="E11">
        <v>7.3499999999999998E-3</v>
      </c>
      <c r="H11">
        <f t="shared" si="0"/>
        <v>11</v>
      </c>
      <c r="J11" t="s">
        <v>81</v>
      </c>
      <c r="K11">
        <v>20</v>
      </c>
    </row>
    <row r="12" spans="1:11" x14ac:dyDescent="0.2">
      <c r="A12" s="13"/>
      <c r="B12">
        <v>2521</v>
      </c>
      <c r="C12" t="s">
        <v>112</v>
      </c>
      <c r="D12" t="s">
        <v>155</v>
      </c>
      <c r="E12">
        <v>0.42399999999999999</v>
      </c>
      <c r="H12">
        <f t="shared" si="0"/>
        <v>12</v>
      </c>
      <c r="J12" t="s">
        <v>120</v>
      </c>
      <c r="K12">
        <v>20</v>
      </c>
    </row>
    <row r="13" spans="1:11" x14ac:dyDescent="0.2">
      <c r="A13" s="13"/>
      <c r="B13">
        <v>2522</v>
      </c>
      <c r="C13" t="s">
        <v>111</v>
      </c>
      <c r="D13" t="s">
        <v>155</v>
      </c>
      <c r="E13">
        <v>0.437</v>
      </c>
      <c r="H13">
        <f t="shared" si="0"/>
        <v>13</v>
      </c>
      <c r="J13" t="s">
        <v>120</v>
      </c>
      <c r="K13">
        <v>20</v>
      </c>
    </row>
    <row r="14" spans="1:11" x14ac:dyDescent="0.2">
      <c r="A14" s="13"/>
      <c r="B14">
        <v>2520</v>
      </c>
      <c r="C14" t="s">
        <v>114</v>
      </c>
      <c r="D14" t="s">
        <v>155</v>
      </c>
      <c r="E14">
        <v>0.41399999999999998</v>
      </c>
      <c r="H14">
        <f t="shared" si="0"/>
        <v>14</v>
      </c>
      <c r="J14" t="s">
        <v>120</v>
      </c>
      <c r="K14">
        <v>20</v>
      </c>
    </row>
    <row r="15" spans="1:11" x14ac:dyDescent="0.2">
      <c r="A15" s="13"/>
      <c r="B15">
        <v>2519</v>
      </c>
      <c r="C15" t="s">
        <v>113</v>
      </c>
      <c r="D15" t="s">
        <v>155</v>
      </c>
      <c r="E15">
        <v>0.1552</v>
      </c>
      <c r="H15">
        <f t="shared" si="0"/>
        <v>15</v>
      </c>
      <c r="J15" t="s">
        <v>120</v>
      </c>
      <c r="K15">
        <v>20</v>
      </c>
    </row>
    <row r="16" spans="1:11" x14ac:dyDescent="0.2">
      <c r="A16" s="13"/>
      <c r="B16">
        <v>2518</v>
      </c>
      <c r="C16" t="s">
        <v>115</v>
      </c>
      <c r="D16" t="s">
        <v>155</v>
      </c>
      <c r="E16">
        <v>7.9600000000000004E-2</v>
      </c>
      <c r="H16">
        <f t="shared" si="0"/>
        <v>16</v>
      </c>
      <c r="J16" t="s">
        <v>120</v>
      </c>
      <c r="K16">
        <v>20</v>
      </c>
    </row>
    <row r="17" spans="1:11" x14ac:dyDescent="0.2">
      <c r="A17" s="13"/>
      <c r="B17">
        <v>2517</v>
      </c>
      <c r="C17" t="s">
        <v>117</v>
      </c>
      <c r="D17" t="s">
        <v>155</v>
      </c>
      <c r="E17">
        <v>5.11E-2</v>
      </c>
      <c r="H17">
        <f t="shared" si="0"/>
        <v>17</v>
      </c>
      <c r="J17" t="s">
        <v>120</v>
      </c>
      <c r="K17">
        <v>20</v>
      </c>
    </row>
    <row r="18" spans="1:11" x14ac:dyDescent="0.2">
      <c r="A18" s="13"/>
      <c r="B18">
        <v>2516</v>
      </c>
      <c r="C18" t="s">
        <v>121</v>
      </c>
      <c r="D18" t="s">
        <v>155</v>
      </c>
      <c r="E18">
        <v>7.0000000000000001E-3</v>
      </c>
      <c r="F18">
        <v>2.0500000000000001E-2</v>
      </c>
      <c r="H18">
        <f t="shared" si="0"/>
        <v>18</v>
      </c>
      <c r="J18" t="s">
        <v>120</v>
      </c>
      <c r="K18">
        <v>20</v>
      </c>
    </row>
    <row r="19" spans="1:11" x14ac:dyDescent="0.2">
      <c r="A19" s="13"/>
      <c r="B19">
        <v>2515</v>
      </c>
      <c r="C19" t="s">
        <v>119</v>
      </c>
      <c r="D19" t="s">
        <v>155</v>
      </c>
      <c r="E19">
        <v>7.3499999999999998E-3</v>
      </c>
      <c r="H19">
        <f t="shared" si="0"/>
        <v>19</v>
      </c>
      <c r="J19" t="s">
        <v>120</v>
      </c>
      <c r="K19">
        <v>20</v>
      </c>
    </row>
    <row r="20" spans="1:11" x14ac:dyDescent="0.2">
      <c r="A20" s="13"/>
      <c r="B20">
        <v>2514</v>
      </c>
      <c r="C20" t="s">
        <v>118</v>
      </c>
      <c r="D20" t="s">
        <v>155</v>
      </c>
      <c r="E20">
        <v>0</v>
      </c>
      <c r="H20">
        <f t="shared" si="0"/>
        <v>20</v>
      </c>
      <c r="J20" t="s">
        <v>120</v>
      </c>
      <c r="K20">
        <v>20</v>
      </c>
    </row>
    <row r="21" spans="1:11" x14ac:dyDescent="0.2">
      <c r="A21" s="13"/>
      <c r="B21">
        <v>2507</v>
      </c>
      <c r="C21" t="s">
        <v>111</v>
      </c>
      <c r="D21" s="1">
        <v>45027</v>
      </c>
      <c r="E21">
        <v>0.437</v>
      </c>
      <c r="H21">
        <f t="shared" si="0"/>
        <v>21</v>
      </c>
      <c r="J21" t="s">
        <v>81</v>
      </c>
      <c r="K21">
        <v>7.8</v>
      </c>
    </row>
    <row r="22" spans="1:11" x14ac:dyDescent="0.2">
      <c r="A22" s="13"/>
      <c r="B22">
        <v>2506</v>
      </c>
      <c r="C22" t="s">
        <v>112</v>
      </c>
      <c r="D22" s="1">
        <v>45027</v>
      </c>
      <c r="E22">
        <v>0.42399999999999999</v>
      </c>
      <c r="H22">
        <f t="shared" si="0"/>
        <v>22</v>
      </c>
      <c r="J22" t="s">
        <v>81</v>
      </c>
      <c r="K22">
        <v>7.8</v>
      </c>
    </row>
    <row r="23" spans="1:11" x14ac:dyDescent="0.2">
      <c r="A23" s="13"/>
      <c r="B23">
        <v>2505</v>
      </c>
      <c r="C23" t="s">
        <v>114</v>
      </c>
      <c r="D23" s="1">
        <v>45027</v>
      </c>
      <c r="E23">
        <v>0.41399999999999998</v>
      </c>
      <c r="H23">
        <f t="shared" si="0"/>
        <v>23</v>
      </c>
      <c r="J23" t="s">
        <v>81</v>
      </c>
      <c r="K23">
        <v>7.8</v>
      </c>
    </row>
    <row r="24" spans="1:11" x14ac:dyDescent="0.2">
      <c r="A24" s="13"/>
      <c r="B24">
        <v>2504</v>
      </c>
      <c r="C24" t="s">
        <v>113</v>
      </c>
      <c r="D24" s="1">
        <v>45027</v>
      </c>
      <c r="E24">
        <v>0.1552</v>
      </c>
      <c r="H24">
        <f t="shared" si="0"/>
        <v>24</v>
      </c>
      <c r="J24" t="s">
        <v>81</v>
      </c>
      <c r="K24">
        <v>7.8</v>
      </c>
    </row>
    <row r="25" spans="1:11" x14ac:dyDescent="0.2">
      <c r="A25" s="13"/>
      <c r="B25">
        <v>2502</v>
      </c>
      <c r="C25" t="s">
        <v>117</v>
      </c>
      <c r="D25" s="1">
        <v>45027</v>
      </c>
      <c r="E25">
        <v>5.11E-2</v>
      </c>
      <c r="H25">
        <f t="shared" si="0"/>
        <v>25</v>
      </c>
      <c r="J25" t="s">
        <v>81</v>
      </c>
      <c r="K25">
        <v>7.8</v>
      </c>
    </row>
    <row r="26" spans="1:11" x14ac:dyDescent="0.2">
      <c r="A26" s="13"/>
      <c r="B26">
        <v>2503</v>
      </c>
      <c r="C26" t="s">
        <v>115</v>
      </c>
      <c r="D26" s="1">
        <v>45027</v>
      </c>
      <c r="E26">
        <v>7.9600000000000004E-2</v>
      </c>
      <c r="H26">
        <f t="shared" si="0"/>
        <v>26</v>
      </c>
      <c r="J26" t="s">
        <v>81</v>
      </c>
      <c r="K26">
        <v>7.8</v>
      </c>
    </row>
    <row r="27" spans="1:11" x14ac:dyDescent="0.2">
      <c r="A27" s="13"/>
      <c r="B27">
        <v>2500</v>
      </c>
      <c r="C27" t="s">
        <v>119</v>
      </c>
      <c r="D27" s="1">
        <v>45027</v>
      </c>
      <c r="E27">
        <v>7.3499999999999998E-3</v>
      </c>
      <c r="H27">
        <f t="shared" si="0"/>
        <v>27</v>
      </c>
      <c r="J27" t="s">
        <v>81</v>
      </c>
      <c r="K27">
        <v>7.8</v>
      </c>
    </row>
    <row r="28" spans="1:11" x14ac:dyDescent="0.2">
      <c r="A28" s="13"/>
      <c r="B28">
        <v>2501</v>
      </c>
      <c r="C28" t="s">
        <v>116</v>
      </c>
      <c r="D28" s="1">
        <v>45027</v>
      </c>
      <c r="E28">
        <v>7.0000000000000001E-3</v>
      </c>
      <c r="F28">
        <v>2.0500000000000001E-2</v>
      </c>
      <c r="H28">
        <f t="shared" si="0"/>
        <v>28</v>
      </c>
      <c r="J28" t="s">
        <v>81</v>
      </c>
      <c r="K28">
        <v>7.8</v>
      </c>
    </row>
    <row r="29" spans="1:11" x14ac:dyDescent="0.2">
      <c r="A29" s="13"/>
      <c r="B29">
        <v>2499</v>
      </c>
      <c r="C29" t="s">
        <v>122</v>
      </c>
      <c r="D29" s="1">
        <v>45027</v>
      </c>
      <c r="E29">
        <v>0</v>
      </c>
      <c r="H29">
        <f t="shared" si="0"/>
        <v>29</v>
      </c>
      <c r="J29" t="s">
        <v>81</v>
      </c>
      <c r="K29">
        <v>7.8</v>
      </c>
    </row>
    <row r="30" spans="1:11" x14ac:dyDescent="0.2">
      <c r="A30" s="13"/>
      <c r="B30">
        <v>2490</v>
      </c>
      <c r="C30" t="s">
        <v>123</v>
      </c>
      <c r="D30" s="1">
        <v>45027</v>
      </c>
      <c r="E30">
        <v>0.437</v>
      </c>
      <c r="H30">
        <f t="shared" si="0"/>
        <v>30</v>
      </c>
      <c r="J30" t="s">
        <v>120</v>
      </c>
      <c r="K30">
        <v>8</v>
      </c>
    </row>
    <row r="31" spans="1:11" x14ac:dyDescent="0.2">
      <c r="A31" s="13"/>
      <c r="B31">
        <v>2489</v>
      </c>
      <c r="C31" t="s">
        <v>124</v>
      </c>
      <c r="D31" t="s">
        <v>155</v>
      </c>
      <c r="E31">
        <v>0.42399999999999999</v>
      </c>
      <c r="H31">
        <f t="shared" si="0"/>
        <v>31</v>
      </c>
      <c r="J31" t="s">
        <v>120</v>
      </c>
      <c r="K31">
        <v>8</v>
      </c>
    </row>
    <row r="32" spans="1:11" x14ac:dyDescent="0.2">
      <c r="A32" s="13"/>
      <c r="B32">
        <v>2488</v>
      </c>
      <c r="C32" t="s">
        <v>114</v>
      </c>
      <c r="D32" t="s">
        <v>155</v>
      </c>
      <c r="E32">
        <v>0.41399999999999998</v>
      </c>
      <c r="H32">
        <f t="shared" si="0"/>
        <v>32</v>
      </c>
      <c r="J32" t="s">
        <v>120</v>
      </c>
      <c r="K32">
        <v>8</v>
      </c>
    </row>
    <row r="33" spans="1:11" x14ac:dyDescent="0.2">
      <c r="A33" s="13"/>
      <c r="B33">
        <v>2487</v>
      </c>
      <c r="C33" t="s">
        <v>113</v>
      </c>
      <c r="D33" t="s">
        <v>155</v>
      </c>
      <c r="E33">
        <v>0.1552</v>
      </c>
      <c r="H33">
        <f t="shared" si="0"/>
        <v>33</v>
      </c>
      <c r="J33" t="s">
        <v>120</v>
      </c>
      <c r="K33">
        <v>8</v>
      </c>
    </row>
    <row r="34" spans="1:11" x14ac:dyDescent="0.2">
      <c r="A34" s="13"/>
      <c r="B34">
        <v>2486</v>
      </c>
      <c r="C34" t="s">
        <v>115</v>
      </c>
      <c r="D34" t="s">
        <v>155</v>
      </c>
      <c r="E34">
        <v>7.9600000000000004E-2</v>
      </c>
      <c r="H34">
        <f t="shared" si="0"/>
        <v>34</v>
      </c>
      <c r="J34" t="s">
        <v>120</v>
      </c>
      <c r="K34">
        <v>8</v>
      </c>
    </row>
    <row r="35" spans="1:11" x14ac:dyDescent="0.2">
      <c r="A35" s="13"/>
      <c r="B35">
        <v>2485</v>
      </c>
      <c r="C35" t="s">
        <v>125</v>
      </c>
      <c r="D35" t="s">
        <v>155</v>
      </c>
      <c r="E35">
        <v>5.11E-2</v>
      </c>
      <c r="H35">
        <f t="shared" si="0"/>
        <v>35</v>
      </c>
      <c r="J35" t="s">
        <v>120</v>
      </c>
      <c r="K35">
        <v>8</v>
      </c>
    </row>
    <row r="36" spans="1:11" x14ac:dyDescent="0.2">
      <c r="A36" s="13"/>
      <c r="B36">
        <v>2484</v>
      </c>
      <c r="C36" t="s">
        <v>116</v>
      </c>
      <c r="D36" t="s">
        <v>155</v>
      </c>
      <c r="E36">
        <v>7.0000000000000001E-3</v>
      </c>
      <c r="F36">
        <v>2.0500000000000001E-2</v>
      </c>
      <c r="H36">
        <f t="shared" si="0"/>
        <v>36</v>
      </c>
      <c r="J36" t="s">
        <v>120</v>
      </c>
      <c r="K36">
        <v>8</v>
      </c>
    </row>
    <row r="37" spans="1:11" x14ac:dyDescent="0.2">
      <c r="A37" s="13"/>
      <c r="B37">
        <v>2483</v>
      </c>
      <c r="C37" t="s">
        <v>119</v>
      </c>
      <c r="D37" t="s">
        <v>155</v>
      </c>
      <c r="E37">
        <v>7.3499999999999998E-3</v>
      </c>
      <c r="H37">
        <f t="shared" si="0"/>
        <v>37</v>
      </c>
      <c r="J37" t="s">
        <v>120</v>
      </c>
      <c r="K37">
        <v>8</v>
      </c>
    </row>
    <row r="38" spans="1:11" x14ac:dyDescent="0.2">
      <c r="A38" s="13"/>
      <c r="B38">
        <v>2481</v>
      </c>
      <c r="C38" t="s">
        <v>118</v>
      </c>
      <c r="D38" t="s">
        <v>155</v>
      </c>
      <c r="E38">
        <v>0</v>
      </c>
      <c r="H38">
        <f t="shared" si="0"/>
        <v>38</v>
      </c>
      <c r="J38" t="s">
        <v>120</v>
      </c>
      <c r="K38">
        <v>8</v>
      </c>
    </row>
    <row r="39" spans="1:11" x14ac:dyDescent="0.2">
      <c r="A39" s="13"/>
      <c r="B39">
        <v>2474</v>
      </c>
      <c r="C39" t="s">
        <v>111</v>
      </c>
      <c r="D39" t="s">
        <v>202</v>
      </c>
      <c r="E39">
        <v>0.437</v>
      </c>
      <c r="H39">
        <f t="shared" si="0"/>
        <v>39</v>
      </c>
      <c r="J39" t="s">
        <v>203</v>
      </c>
      <c r="K39">
        <v>40</v>
      </c>
    </row>
    <row r="40" spans="1:11" x14ac:dyDescent="0.2">
      <c r="A40" s="13"/>
      <c r="B40">
        <v>2472</v>
      </c>
      <c r="C40" t="s">
        <v>114</v>
      </c>
      <c r="D40" t="s">
        <v>202</v>
      </c>
      <c r="E40">
        <v>0.41399999999999998</v>
      </c>
      <c r="H40">
        <f t="shared" si="0"/>
        <v>40</v>
      </c>
      <c r="J40" t="s">
        <v>203</v>
      </c>
      <c r="K40">
        <v>40</v>
      </c>
    </row>
    <row r="41" spans="1:11" x14ac:dyDescent="0.2">
      <c r="A41" s="13"/>
      <c r="B41">
        <v>2473</v>
      </c>
      <c r="C41" t="s">
        <v>112</v>
      </c>
      <c r="D41" t="s">
        <v>202</v>
      </c>
      <c r="E41">
        <v>0.42399999999999999</v>
      </c>
      <c r="H41">
        <f t="shared" si="0"/>
        <v>41</v>
      </c>
      <c r="J41" t="s">
        <v>203</v>
      </c>
      <c r="K41">
        <v>40</v>
      </c>
    </row>
    <row r="42" spans="1:11" x14ac:dyDescent="0.2">
      <c r="A42" s="13"/>
      <c r="B42">
        <v>2470</v>
      </c>
      <c r="C42" t="s">
        <v>126</v>
      </c>
      <c r="D42" t="s">
        <v>202</v>
      </c>
      <c r="E42">
        <v>0.1552</v>
      </c>
      <c r="H42">
        <f t="shared" si="0"/>
        <v>42</v>
      </c>
      <c r="J42" t="s">
        <v>203</v>
      </c>
      <c r="K42">
        <v>40</v>
      </c>
    </row>
    <row r="43" spans="1:11" x14ac:dyDescent="0.2">
      <c r="A43" s="13"/>
      <c r="B43">
        <v>2471</v>
      </c>
      <c r="C43" t="s">
        <v>127</v>
      </c>
      <c r="D43" t="s">
        <v>202</v>
      </c>
      <c r="E43">
        <v>7.9600000000000004E-2</v>
      </c>
      <c r="H43">
        <f t="shared" si="0"/>
        <v>43</v>
      </c>
      <c r="J43" t="s">
        <v>203</v>
      </c>
      <c r="K43">
        <v>40</v>
      </c>
    </row>
    <row r="44" spans="1:11" x14ac:dyDescent="0.2">
      <c r="A44" s="13"/>
      <c r="B44">
        <v>2469</v>
      </c>
      <c r="C44" t="s">
        <v>125</v>
      </c>
      <c r="D44" t="s">
        <v>202</v>
      </c>
      <c r="E44">
        <v>5.11E-2</v>
      </c>
      <c r="H44">
        <f t="shared" si="0"/>
        <v>44</v>
      </c>
      <c r="J44" t="s">
        <v>203</v>
      </c>
      <c r="K44">
        <v>40</v>
      </c>
    </row>
    <row r="45" spans="1:11" x14ac:dyDescent="0.2">
      <c r="A45" s="13"/>
      <c r="B45">
        <v>2468</v>
      </c>
      <c r="C45" t="s">
        <v>116</v>
      </c>
      <c r="D45" t="s">
        <v>202</v>
      </c>
      <c r="E45">
        <v>7.0000000000000001E-3</v>
      </c>
      <c r="F45">
        <v>2.0500000000000001E-2</v>
      </c>
      <c r="H45">
        <f t="shared" si="0"/>
        <v>45</v>
      </c>
      <c r="J45" t="s">
        <v>203</v>
      </c>
      <c r="K45">
        <v>40</v>
      </c>
    </row>
    <row r="46" spans="1:11" x14ac:dyDescent="0.2">
      <c r="A46" s="13"/>
      <c r="B46">
        <v>2467</v>
      </c>
      <c r="C46" t="s">
        <v>119</v>
      </c>
      <c r="D46" t="s">
        <v>202</v>
      </c>
      <c r="E46">
        <v>7.3499999999999998E-3</v>
      </c>
      <c r="H46">
        <f t="shared" si="0"/>
        <v>46</v>
      </c>
      <c r="J46" t="s">
        <v>203</v>
      </c>
      <c r="K46">
        <v>40</v>
      </c>
    </row>
    <row r="47" spans="1:11" x14ac:dyDescent="0.2">
      <c r="A47" s="13"/>
      <c r="B47">
        <v>2466</v>
      </c>
      <c r="C47" t="s">
        <v>118</v>
      </c>
      <c r="D47" t="s">
        <v>202</v>
      </c>
      <c r="E47">
        <v>0</v>
      </c>
      <c r="H47">
        <f t="shared" si="0"/>
        <v>47</v>
      </c>
      <c r="J47" t="s">
        <v>203</v>
      </c>
      <c r="K47">
        <v>40</v>
      </c>
    </row>
    <row r="48" spans="1:11" x14ac:dyDescent="0.2">
      <c r="A48" s="13"/>
      <c r="B48">
        <v>2462</v>
      </c>
      <c r="C48" t="s">
        <v>222</v>
      </c>
      <c r="D48" s="1">
        <v>45023</v>
      </c>
      <c r="E48">
        <v>0.42399999999999999</v>
      </c>
      <c r="H48">
        <f t="shared" si="0"/>
        <v>48</v>
      </c>
      <c r="J48" t="s">
        <v>69</v>
      </c>
      <c r="K48">
        <v>40</v>
      </c>
    </row>
    <row r="49" spans="1:11" x14ac:dyDescent="0.2">
      <c r="A49" s="13"/>
      <c r="B49">
        <v>2461</v>
      </c>
      <c r="C49" t="s">
        <v>117</v>
      </c>
      <c r="D49" s="1">
        <v>45023</v>
      </c>
      <c r="E49">
        <v>5.11E-2</v>
      </c>
      <c r="H49">
        <f t="shared" si="0"/>
        <v>49</v>
      </c>
      <c r="J49" t="s">
        <v>69</v>
      </c>
      <c r="K49">
        <v>40</v>
      </c>
    </row>
    <row r="50" spans="1:11" x14ac:dyDescent="0.2">
      <c r="A50" s="13"/>
      <c r="B50">
        <v>2460</v>
      </c>
      <c r="C50" t="s">
        <v>111</v>
      </c>
      <c r="D50" s="1">
        <v>45023</v>
      </c>
      <c r="E50">
        <v>0.437</v>
      </c>
      <c r="H50">
        <f t="shared" si="0"/>
        <v>50</v>
      </c>
      <c r="J50" t="s">
        <v>69</v>
      </c>
      <c r="K50">
        <v>40</v>
      </c>
    </row>
    <row r="51" spans="1:11" x14ac:dyDescent="0.2">
      <c r="B51">
        <v>2459</v>
      </c>
      <c r="C51" t="s">
        <v>113</v>
      </c>
      <c r="D51" s="1">
        <v>45023</v>
      </c>
      <c r="E51">
        <v>0.1552</v>
      </c>
      <c r="H51">
        <f t="shared" si="0"/>
        <v>51</v>
      </c>
      <c r="J51" t="s">
        <v>69</v>
      </c>
      <c r="K51">
        <v>40</v>
      </c>
    </row>
    <row r="52" spans="1:11" x14ac:dyDescent="0.2">
      <c r="B52">
        <v>2458</v>
      </c>
      <c r="C52" t="s">
        <v>114</v>
      </c>
      <c r="D52" s="1">
        <v>45023</v>
      </c>
      <c r="E52">
        <v>0.41399999999999998</v>
      </c>
      <c r="H52">
        <f t="shared" si="0"/>
        <v>52</v>
      </c>
      <c r="J52" t="s">
        <v>69</v>
      </c>
      <c r="K52">
        <v>40</v>
      </c>
    </row>
    <row r="53" spans="1:11" x14ac:dyDescent="0.2">
      <c r="B53">
        <v>2456</v>
      </c>
      <c r="C53" t="s">
        <v>119</v>
      </c>
      <c r="D53" s="1">
        <v>45023</v>
      </c>
      <c r="E53">
        <v>7.3499999999999998E-3</v>
      </c>
      <c r="H53">
        <f t="shared" si="0"/>
        <v>53</v>
      </c>
      <c r="J53" t="s">
        <v>69</v>
      </c>
      <c r="K53">
        <v>40</v>
      </c>
    </row>
    <row r="54" spans="1:11" x14ac:dyDescent="0.2">
      <c r="B54">
        <v>2457</v>
      </c>
      <c r="C54" t="s">
        <v>115</v>
      </c>
      <c r="D54" s="1">
        <v>45023</v>
      </c>
      <c r="E54">
        <v>7.9600000000000004E-2</v>
      </c>
      <c r="H54">
        <f t="shared" si="0"/>
        <v>54</v>
      </c>
      <c r="J54" t="s">
        <v>69</v>
      </c>
      <c r="K54">
        <v>40</v>
      </c>
    </row>
    <row r="55" spans="1:11" x14ac:dyDescent="0.2">
      <c r="B55">
        <v>2455</v>
      </c>
      <c r="C55" t="s">
        <v>128</v>
      </c>
      <c r="D55" s="1">
        <v>45023</v>
      </c>
      <c r="E55">
        <v>7.0000000000000001E-3</v>
      </c>
      <c r="F55">
        <v>2.0500000000000001E-2</v>
      </c>
      <c r="H55">
        <f t="shared" si="0"/>
        <v>55</v>
      </c>
      <c r="J55" t="s">
        <v>69</v>
      </c>
      <c r="K55">
        <v>40</v>
      </c>
    </row>
    <row r="56" spans="1:11" x14ac:dyDescent="0.2">
      <c r="B56">
        <v>2454</v>
      </c>
      <c r="C56" t="s">
        <v>116</v>
      </c>
      <c r="D56" s="1">
        <v>45023</v>
      </c>
      <c r="E56">
        <v>7.0000000000000001E-3</v>
      </c>
      <c r="F56">
        <v>2.0500000000000001E-2</v>
      </c>
      <c r="H56">
        <f t="shared" si="0"/>
        <v>56</v>
      </c>
      <c r="J56" t="s">
        <v>69</v>
      </c>
      <c r="K56">
        <v>40</v>
      </c>
    </row>
    <row r="57" spans="1:11" x14ac:dyDescent="0.2">
      <c r="B57">
        <v>2453</v>
      </c>
      <c r="C57" t="s">
        <v>129</v>
      </c>
      <c r="D57" s="1">
        <v>45023</v>
      </c>
      <c r="E57">
        <v>0</v>
      </c>
      <c r="H57">
        <f t="shared" si="0"/>
        <v>57</v>
      </c>
      <c r="J57" t="s">
        <v>69</v>
      </c>
      <c r="K57">
        <v>40</v>
      </c>
    </row>
    <row r="58" spans="1:11" x14ac:dyDescent="0.2">
      <c r="B58">
        <v>2650</v>
      </c>
      <c r="C58" t="s">
        <v>248</v>
      </c>
      <c r="D58" s="1">
        <v>45070</v>
      </c>
      <c r="E58">
        <v>1.7999999999999999E-2</v>
      </c>
      <c r="F58">
        <v>5.9400000000000001E-2</v>
      </c>
      <c r="G58" t="s">
        <v>259</v>
      </c>
      <c r="H58">
        <f t="shared" si="0"/>
        <v>58</v>
      </c>
      <c r="J58" t="s">
        <v>120</v>
      </c>
      <c r="K58">
        <v>8</v>
      </c>
    </row>
    <row r="59" spans="1:11" x14ac:dyDescent="0.2">
      <c r="B59">
        <v>2654</v>
      </c>
      <c r="C59" t="s">
        <v>249</v>
      </c>
      <c r="D59" s="1">
        <v>45070</v>
      </c>
      <c r="E59">
        <v>0.59199999999999997</v>
      </c>
      <c r="H59">
        <f t="shared" si="0"/>
        <v>59</v>
      </c>
      <c r="J59" t="s">
        <v>120</v>
      </c>
      <c r="K59">
        <v>8</v>
      </c>
    </row>
    <row r="60" spans="1:11" x14ac:dyDescent="0.2">
      <c r="B60">
        <v>2653</v>
      </c>
      <c r="C60" t="s">
        <v>250</v>
      </c>
      <c r="D60" s="1">
        <v>45070</v>
      </c>
      <c r="E60">
        <v>0.316</v>
      </c>
      <c r="H60">
        <f t="shared" si="0"/>
        <v>60</v>
      </c>
      <c r="J60" t="s">
        <v>120</v>
      </c>
      <c r="K60">
        <v>8</v>
      </c>
    </row>
    <row r="61" spans="1:11" x14ac:dyDescent="0.2">
      <c r="B61">
        <v>2652</v>
      </c>
      <c r="C61" t="s">
        <v>251</v>
      </c>
      <c r="D61" s="1">
        <v>45070</v>
      </c>
      <c r="E61">
        <v>0.106</v>
      </c>
      <c r="F61">
        <v>0.41299999999999998</v>
      </c>
      <c r="H61">
        <f t="shared" si="0"/>
        <v>61</v>
      </c>
      <c r="J61" t="s">
        <v>120</v>
      </c>
      <c r="K61">
        <v>8</v>
      </c>
    </row>
    <row r="62" spans="1:11" x14ac:dyDescent="0.2">
      <c r="B62">
        <v>2651</v>
      </c>
      <c r="C62" t="s">
        <v>252</v>
      </c>
      <c r="D62" s="1">
        <v>45070</v>
      </c>
      <c r="E62">
        <v>2.8400000000000002E-2</v>
      </c>
      <c r="H62">
        <f t="shared" si="0"/>
        <v>62</v>
      </c>
      <c r="J62" t="s">
        <v>120</v>
      </c>
      <c r="K62">
        <v>8</v>
      </c>
    </row>
    <row r="63" spans="1:11" x14ac:dyDescent="0.2">
      <c r="B63">
        <v>2648</v>
      </c>
      <c r="C63" t="s">
        <v>249</v>
      </c>
      <c r="D63" s="1">
        <v>45070</v>
      </c>
      <c r="E63">
        <v>0.59199999999999997</v>
      </c>
      <c r="H63">
        <f t="shared" si="0"/>
        <v>63</v>
      </c>
      <c r="J63" t="s">
        <v>81</v>
      </c>
      <c r="K63">
        <v>7.8</v>
      </c>
    </row>
    <row r="64" spans="1:11" x14ac:dyDescent="0.2">
      <c r="B64">
        <v>2647</v>
      </c>
      <c r="C64" t="s">
        <v>250</v>
      </c>
      <c r="D64" s="1">
        <v>45070</v>
      </c>
      <c r="E64">
        <v>0.316</v>
      </c>
      <c r="H64">
        <f t="shared" si="0"/>
        <v>64</v>
      </c>
      <c r="J64" t="s">
        <v>81</v>
      </c>
      <c r="K64">
        <v>7.8</v>
      </c>
    </row>
    <row r="65" spans="2:11" x14ac:dyDescent="0.2">
      <c r="B65">
        <v>2646</v>
      </c>
      <c r="C65" t="s">
        <v>251</v>
      </c>
      <c r="D65" s="1">
        <v>45070</v>
      </c>
      <c r="E65">
        <v>0.106</v>
      </c>
      <c r="F65">
        <v>0.41299999999999998</v>
      </c>
      <c r="H65">
        <f t="shared" si="0"/>
        <v>65</v>
      </c>
      <c r="J65" t="s">
        <v>81</v>
      </c>
      <c r="K65">
        <v>7.8</v>
      </c>
    </row>
    <row r="66" spans="2:11" x14ac:dyDescent="0.2">
      <c r="B66">
        <v>2645</v>
      </c>
      <c r="C66" t="s">
        <v>252</v>
      </c>
      <c r="D66" s="1">
        <v>45070</v>
      </c>
      <c r="E66">
        <v>2.8400000000000002E-2</v>
      </c>
      <c r="H66">
        <f t="shared" si="0"/>
        <v>66</v>
      </c>
      <c r="J66" t="s">
        <v>81</v>
      </c>
      <c r="K66">
        <v>7.8</v>
      </c>
    </row>
    <row r="67" spans="2:11" x14ac:dyDescent="0.2">
      <c r="B67">
        <v>2644</v>
      </c>
      <c r="C67" t="s">
        <v>248</v>
      </c>
      <c r="D67" s="1">
        <v>45070</v>
      </c>
      <c r="E67">
        <v>1.7999999999999999E-2</v>
      </c>
      <c r="F67">
        <v>5.9400000000000001E-2</v>
      </c>
      <c r="H67">
        <f t="shared" si="0"/>
        <v>67</v>
      </c>
      <c r="J67" t="s">
        <v>81</v>
      </c>
      <c r="K67">
        <v>7.8</v>
      </c>
    </row>
    <row r="68" spans="2:11" x14ac:dyDescent="0.2">
      <c r="B68">
        <v>2641</v>
      </c>
      <c r="C68" t="s">
        <v>250</v>
      </c>
      <c r="D68" s="1">
        <v>45070</v>
      </c>
      <c r="E68">
        <v>0.316</v>
      </c>
      <c r="H68">
        <f t="shared" si="0"/>
        <v>68</v>
      </c>
      <c r="J68" t="s">
        <v>81</v>
      </c>
      <c r="K68">
        <v>20</v>
      </c>
    </row>
    <row r="69" spans="2:11" x14ac:dyDescent="0.2">
      <c r="B69">
        <v>2640</v>
      </c>
      <c r="C69" t="s">
        <v>251</v>
      </c>
      <c r="D69" s="1">
        <v>45070</v>
      </c>
      <c r="E69">
        <v>0.106</v>
      </c>
      <c r="F69">
        <v>0.41299999999999998</v>
      </c>
      <c r="H69">
        <f t="shared" ref="H69:H132" si="1">H68+1</f>
        <v>69</v>
      </c>
      <c r="J69" t="s">
        <v>81</v>
      </c>
      <c r="K69">
        <v>20</v>
      </c>
    </row>
    <row r="70" spans="2:11" x14ac:dyDescent="0.2">
      <c r="B70">
        <v>2639</v>
      </c>
      <c r="C70" t="s">
        <v>252</v>
      </c>
      <c r="D70" s="1">
        <v>45070</v>
      </c>
      <c r="E70">
        <v>2.8400000000000002E-2</v>
      </c>
      <c r="H70">
        <f t="shared" si="1"/>
        <v>70</v>
      </c>
      <c r="J70" t="s">
        <v>81</v>
      </c>
      <c r="K70">
        <v>20</v>
      </c>
    </row>
    <row r="71" spans="2:11" x14ac:dyDescent="0.2">
      <c r="B71">
        <v>2638</v>
      </c>
      <c r="C71" t="s">
        <v>248</v>
      </c>
      <c r="D71" s="1">
        <v>45070</v>
      </c>
      <c r="E71">
        <v>1.7999999999999999E-2</v>
      </c>
      <c r="F71">
        <v>5.9400000000000001E-2</v>
      </c>
      <c r="H71">
        <f t="shared" si="1"/>
        <v>71</v>
      </c>
      <c r="J71" t="s">
        <v>81</v>
      </c>
      <c r="K71">
        <v>20</v>
      </c>
    </row>
    <row r="72" spans="2:11" x14ac:dyDescent="0.2">
      <c r="B72">
        <v>2636</v>
      </c>
      <c r="C72" t="s">
        <v>249</v>
      </c>
      <c r="D72" s="1">
        <v>45070</v>
      </c>
      <c r="E72">
        <v>0.59199999999999997</v>
      </c>
      <c r="H72">
        <f t="shared" si="1"/>
        <v>72</v>
      </c>
      <c r="J72" t="s">
        <v>120</v>
      </c>
      <c r="K72">
        <v>20</v>
      </c>
    </row>
    <row r="73" spans="2:11" x14ac:dyDescent="0.2">
      <c r="B73">
        <v>2635</v>
      </c>
      <c r="C73" t="s">
        <v>250</v>
      </c>
      <c r="D73" s="1">
        <v>45070</v>
      </c>
      <c r="E73">
        <v>0.316</v>
      </c>
      <c r="H73">
        <f t="shared" si="1"/>
        <v>73</v>
      </c>
      <c r="J73" t="s">
        <v>120</v>
      </c>
      <c r="K73">
        <v>20</v>
      </c>
    </row>
    <row r="74" spans="2:11" x14ac:dyDescent="0.2">
      <c r="B74">
        <v>2634</v>
      </c>
      <c r="C74" t="s">
        <v>251</v>
      </c>
      <c r="D74" s="1">
        <v>45070</v>
      </c>
      <c r="E74">
        <v>0.106</v>
      </c>
      <c r="F74">
        <v>0.41299999999999998</v>
      </c>
      <c r="H74">
        <f t="shared" si="1"/>
        <v>74</v>
      </c>
      <c r="J74" t="s">
        <v>120</v>
      </c>
      <c r="K74">
        <v>20</v>
      </c>
    </row>
    <row r="75" spans="2:11" x14ac:dyDescent="0.2">
      <c r="B75">
        <v>2633</v>
      </c>
      <c r="C75" t="s">
        <v>252</v>
      </c>
      <c r="D75" s="1">
        <v>45070</v>
      </c>
      <c r="E75">
        <v>2.8400000000000002E-2</v>
      </c>
      <c r="H75">
        <f t="shared" si="1"/>
        <v>75</v>
      </c>
      <c r="J75" t="s">
        <v>120</v>
      </c>
      <c r="K75">
        <v>20</v>
      </c>
    </row>
    <row r="76" spans="2:11" x14ac:dyDescent="0.2">
      <c r="B76">
        <v>2632</v>
      </c>
      <c r="C76" t="s">
        <v>248</v>
      </c>
      <c r="D76" s="1">
        <v>45070</v>
      </c>
      <c r="E76">
        <v>1.7999999999999999E-2</v>
      </c>
      <c r="F76">
        <v>5.9400000000000001E-2</v>
      </c>
      <c r="H76">
        <f t="shared" si="1"/>
        <v>76</v>
      </c>
      <c r="J76" t="s">
        <v>120</v>
      </c>
      <c r="K76">
        <v>20</v>
      </c>
    </row>
    <row r="77" spans="2:11" x14ac:dyDescent="0.2">
      <c r="B77">
        <v>2630</v>
      </c>
      <c r="C77" t="s">
        <v>249</v>
      </c>
      <c r="D77" s="1">
        <v>45070</v>
      </c>
      <c r="E77">
        <v>0.59199999999999997</v>
      </c>
      <c r="H77">
        <f t="shared" si="1"/>
        <v>77</v>
      </c>
      <c r="J77" t="s">
        <v>203</v>
      </c>
      <c r="K77">
        <v>40</v>
      </c>
    </row>
    <row r="78" spans="2:11" x14ac:dyDescent="0.2">
      <c r="B78">
        <v>2629</v>
      </c>
      <c r="C78" t="s">
        <v>250</v>
      </c>
      <c r="D78" s="1">
        <v>45070</v>
      </c>
      <c r="E78">
        <v>0.316</v>
      </c>
      <c r="H78">
        <f t="shared" si="1"/>
        <v>78</v>
      </c>
      <c r="J78" t="s">
        <v>203</v>
      </c>
      <c r="K78">
        <v>40</v>
      </c>
    </row>
    <row r="79" spans="2:11" x14ac:dyDescent="0.2">
      <c r="B79">
        <v>2628</v>
      </c>
      <c r="C79" t="s">
        <v>251</v>
      </c>
      <c r="D79" s="1">
        <v>45070</v>
      </c>
      <c r="E79">
        <v>0.106</v>
      </c>
      <c r="F79">
        <v>0.41299999999999998</v>
      </c>
      <c r="H79">
        <f t="shared" si="1"/>
        <v>79</v>
      </c>
      <c r="J79" t="s">
        <v>203</v>
      </c>
      <c r="K79">
        <v>40</v>
      </c>
    </row>
    <row r="80" spans="2:11" x14ac:dyDescent="0.2">
      <c r="B80">
        <v>2627</v>
      </c>
      <c r="C80" t="s">
        <v>252</v>
      </c>
      <c r="D80" s="1">
        <v>45070</v>
      </c>
      <c r="E80">
        <v>2.8400000000000002E-2</v>
      </c>
      <c r="H80">
        <f t="shared" si="1"/>
        <v>80</v>
      </c>
      <c r="J80" t="s">
        <v>203</v>
      </c>
      <c r="K80">
        <v>40</v>
      </c>
    </row>
    <row r="81" spans="2:11" x14ac:dyDescent="0.2">
      <c r="B81">
        <v>2626</v>
      </c>
      <c r="C81" t="s">
        <v>248</v>
      </c>
      <c r="D81" s="1">
        <v>45070</v>
      </c>
      <c r="E81">
        <v>1.7999999999999999E-2</v>
      </c>
      <c r="F81">
        <v>5.9400000000000001E-2</v>
      </c>
      <c r="H81">
        <f t="shared" si="1"/>
        <v>81</v>
      </c>
      <c r="J81" t="s">
        <v>203</v>
      </c>
      <c r="K81">
        <v>40</v>
      </c>
    </row>
    <row r="82" spans="2:11" x14ac:dyDescent="0.2">
      <c r="B82">
        <v>2621</v>
      </c>
      <c r="C82" t="s">
        <v>251</v>
      </c>
      <c r="D82" s="1">
        <v>45070</v>
      </c>
      <c r="E82">
        <v>0.106</v>
      </c>
      <c r="F82">
        <v>0.41299999999999998</v>
      </c>
      <c r="H82">
        <f t="shared" si="1"/>
        <v>82</v>
      </c>
      <c r="J82" t="s">
        <v>69</v>
      </c>
      <c r="K82">
        <v>40</v>
      </c>
    </row>
    <row r="83" spans="2:11" x14ac:dyDescent="0.2">
      <c r="B83">
        <v>2620</v>
      </c>
      <c r="C83" t="s">
        <v>252</v>
      </c>
      <c r="D83" s="1">
        <v>45070</v>
      </c>
      <c r="E83">
        <v>2.8400000000000002E-2</v>
      </c>
      <c r="H83">
        <f t="shared" si="1"/>
        <v>83</v>
      </c>
      <c r="J83" t="s">
        <v>69</v>
      </c>
      <c r="K83">
        <v>40</v>
      </c>
    </row>
    <row r="84" spans="2:11" x14ac:dyDescent="0.2">
      <c r="B84">
        <v>2619</v>
      </c>
      <c r="C84" t="s">
        <v>248</v>
      </c>
      <c r="D84" s="1">
        <v>45070</v>
      </c>
      <c r="E84">
        <v>1.7999999999999999E-2</v>
      </c>
      <c r="F84">
        <v>5.9400000000000001E-2</v>
      </c>
      <c r="H84">
        <f t="shared" si="1"/>
        <v>84</v>
      </c>
      <c r="J84" t="s">
        <v>69</v>
      </c>
      <c r="K84">
        <v>40</v>
      </c>
    </row>
    <row r="85" spans="2:11" x14ac:dyDescent="0.2">
      <c r="B85">
        <v>2613</v>
      </c>
      <c r="C85" t="s">
        <v>248</v>
      </c>
      <c r="D85" s="1">
        <v>45070</v>
      </c>
      <c r="E85">
        <v>1.7999999999999999E-2</v>
      </c>
      <c r="F85">
        <v>5.9400000000000001E-2</v>
      </c>
      <c r="H85">
        <f t="shared" si="1"/>
        <v>85</v>
      </c>
      <c r="J85" t="s">
        <v>69</v>
      </c>
      <c r="K85">
        <v>8</v>
      </c>
    </row>
    <row r="86" spans="2:11" x14ac:dyDescent="0.2">
      <c r="B86">
        <v>2610</v>
      </c>
      <c r="C86" t="s">
        <v>250</v>
      </c>
      <c r="D86" s="1">
        <v>45070</v>
      </c>
      <c r="E86">
        <v>0.316</v>
      </c>
      <c r="H86">
        <f t="shared" si="1"/>
        <v>86</v>
      </c>
      <c r="J86" t="s">
        <v>203</v>
      </c>
      <c r="K86">
        <v>8</v>
      </c>
    </row>
    <row r="87" spans="2:11" x14ac:dyDescent="0.2">
      <c r="B87">
        <v>2609</v>
      </c>
      <c r="C87" t="s">
        <v>251</v>
      </c>
      <c r="D87" s="1">
        <v>45070</v>
      </c>
      <c r="E87">
        <v>0.106</v>
      </c>
      <c r="F87">
        <v>0.41299999999999998</v>
      </c>
      <c r="H87">
        <f t="shared" si="1"/>
        <v>87</v>
      </c>
      <c r="J87" t="s">
        <v>203</v>
      </c>
      <c r="K87">
        <v>8</v>
      </c>
    </row>
    <row r="88" spans="2:11" x14ac:dyDescent="0.2">
      <c r="B88">
        <v>2608</v>
      </c>
      <c r="C88" t="s">
        <v>252</v>
      </c>
      <c r="D88" s="1">
        <v>45070</v>
      </c>
      <c r="E88">
        <v>2.8400000000000002E-2</v>
      </c>
      <c r="H88">
        <f t="shared" si="1"/>
        <v>88</v>
      </c>
      <c r="J88" t="s">
        <v>203</v>
      </c>
      <c r="K88">
        <v>8</v>
      </c>
    </row>
    <row r="89" spans="2:11" x14ac:dyDescent="0.2">
      <c r="B89">
        <v>2607</v>
      </c>
      <c r="C89" t="s">
        <v>248</v>
      </c>
      <c r="D89" s="1">
        <v>45070</v>
      </c>
      <c r="E89">
        <v>1.7999999999999999E-2</v>
      </c>
      <c r="F89">
        <v>5.9400000000000001E-2</v>
      </c>
      <c r="H89">
        <f t="shared" si="1"/>
        <v>89</v>
      </c>
      <c r="J89" t="s">
        <v>203</v>
      </c>
      <c r="K89">
        <v>8</v>
      </c>
    </row>
    <row r="90" spans="2:11" x14ac:dyDescent="0.2">
      <c r="B90">
        <v>2596</v>
      </c>
      <c r="C90" t="s">
        <v>249</v>
      </c>
      <c r="D90" s="1">
        <v>45070</v>
      </c>
      <c r="E90">
        <v>0.59199999999999997</v>
      </c>
      <c r="H90">
        <f t="shared" si="1"/>
        <v>90</v>
      </c>
      <c r="J90" t="s">
        <v>203</v>
      </c>
      <c r="K90">
        <v>20</v>
      </c>
    </row>
    <row r="91" spans="2:11" x14ac:dyDescent="0.2">
      <c r="B91">
        <v>2595</v>
      </c>
      <c r="C91" t="s">
        <v>250</v>
      </c>
      <c r="D91" s="1">
        <v>45070</v>
      </c>
      <c r="E91">
        <v>0.316</v>
      </c>
      <c r="H91">
        <f t="shared" si="1"/>
        <v>91</v>
      </c>
      <c r="J91" t="s">
        <v>203</v>
      </c>
      <c r="K91">
        <v>20</v>
      </c>
    </row>
    <row r="92" spans="2:11" x14ac:dyDescent="0.2">
      <c r="B92">
        <v>2594</v>
      </c>
      <c r="C92" t="s">
        <v>251</v>
      </c>
      <c r="D92" s="1">
        <v>45070</v>
      </c>
      <c r="E92">
        <v>0.106</v>
      </c>
      <c r="F92">
        <v>0.41299999999999998</v>
      </c>
      <c r="H92">
        <f t="shared" si="1"/>
        <v>92</v>
      </c>
      <c r="J92" t="s">
        <v>203</v>
      </c>
      <c r="K92">
        <v>20</v>
      </c>
    </row>
    <row r="93" spans="2:11" x14ac:dyDescent="0.2">
      <c r="B93">
        <v>2593</v>
      </c>
      <c r="C93" t="s">
        <v>252</v>
      </c>
      <c r="D93" s="1">
        <v>45070</v>
      </c>
      <c r="E93">
        <v>2.8400000000000002E-2</v>
      </c>
      <c r="H93">
        <f t="shared" si="1"/>
        <v>93</v>
      </c>
      <c r="J93" t="s">
        <v>203</v>
      </c>
      <c r="K93">
        <v>20</v>
      </c>
    </row>
    <row r="94" spans="2:11" x14ac:dyDescent="0.2">
      <c r="B94">
        <v>2592</v>
      </c>
      <c r="C94" t="s">
        <v>248</v>
      </c>
      <c r="D94" s="1">
        <v>45070</v>
      </c>
      <c r="E94">
        <v>1.7999999999999999E-2</v>
      </c>
      <c r="F94">
        <v>5.9400000000000001E-2</v>
      </c>
      <c r="H94">
        <f t="shared" si="1"/>
        <v>94</v>
      </c>
      <c r="J94" t="s">
        <v>203</v>
      </c>
      <c r="K94">
        <v>20</v>
      </c>
    </row>
    <row r="95" spans="2:11" x14ac:dyDescent="0.2">
      <c r="B95">
        <v>2589</v>
      </c>
      <c r="C95" t="s">
        <v>112</v>
      </c>
      <c r="D95" s="1">
        <v>45070</v>
      </c>
      <c r="E95">
        <v>0.42499999999999999</v>
      </c>
      <c r="H95">
        <f t="shared" si="1"/>
        <v>95</v>
      </c>
      <c r="J95" t="s">
        <v>203</v>
      </c>
      <c r="K95">
        <v>20</v>
      </c>
    </row>
    <row r="96" spans="2:11" x14ac:dyDescent="0.2">
      <c r="B96">
        <v>2588</v>
      </c>
      <c r="C96" t="s">
        <v>111</v>
      </c>
      <c r="D96" s="1">
        <v>45070</v>
      </c>
      <c r="E96">
        <v>0.437</v>
      </c>
      <c r="H96">
        <f t="shared" si="1"/>
        <v>96</v>
      </c>
      <c r="J96" t="s">
        <v>203</v>
      </c>
      <c r="K96">
        <v>20</v>
      </c>
    </row>
    <row r="97" spans="2:11" x14ac:dyDescent="0.2">
      <c r="B97">
        <v>2587</v>
      </c>
      <c r="C97" t="s">
        <v>114</v>
      </c>
      <c r="D97" s="1">
        <v>45070</v>
      </c>
      <c r="E97">
        <v>0.41399999999999998</v>
      </c>
      <c r="H97">
        <f t="shared" si="1"/>
        <v>97</v>
      </c>
      <c r="J97" t="s">
        <v>203</v>
      </c>
      <c r="K97">
        <v>20</v>
      </c>
    </row>
    <row r="98" spans="2:11" x14ac:dyDescent="0.2">
      <c r="B98">
        <v>2586</v>
      </c>
      <c r="C98" t="s">
        <v>113</v>
      </c>
      <c r="D98" s="1">
        <v>45070</v>
      </c>
      <c r="E98">
        <v>0.15679999999999999</v>
      </c>
      <c r="H98">
        <f t="shared" si="1"/>
        <v>98</v>
      </c>
      <c r="J98" t="s">
        <v>203</v>
      </c>
      <c r="K98">
        <v>20</v>
      </c>
    </row>
    <row r="99" spans="2:11" x14ac:dyDescent="0.2">
      <c r="B99">
        <v>2585</v>
      </c>
      <c r="C99" t="s">
        <v>115</v>
      </c>
      <c r="D99" s="1">
        <v>45070</v>
      </c>
      <c r="E99">
        <v>8.0199999999999994E-2</v>
      </c>
      <c r="H99">
        <f t="shared" si="1"/>
        <v>99</v>
      </c>
      <c r="J99" t="s">
        <v>203</v>
      </c>
      <c r="K99">
        <v>20</v>
      </c>
    </row>
    <row r="100" spans="2:11" x14ac:dyDescent="0.2">
      <c r="B100">
        <v>2584</v>
      </c>
      <c r="C100" t="s">
        <v>117</v>
      </c>
      <c r="D100" s="1">
        <v>45070</v>
      </c>
      <c r="E100">
        <v>5.11E-2</v>
      </c>
      <c r="H100">
        <f t="shared" si="1"/>
        <v>100</v>
      </c>
      <c r="J100" t="s">
        <v>203</v>
      </c>
      <c r="K100">
        <v>20</v>
      </c>
    </row>
    <row r="101" spans="2:11" x14ac:dyDescent="0.2">
      <c r="B101">
        <v>2583</v>
      </c>
      <c r="C101" t="s">
        <v>116</v>
      </c>
      <c r="D101" s="1">
        <v>45070</v>
      </c>
      <c r="E101">
        <v>6.0000000000000001E-3</v>
      </c>
      <c r="H101">
        <f t="shared" si="1"/>
        <v>101</v>
      </c>
      <c r="J101" t="s">
        <v>203</v>
      </c>
      <c r="K101">
        <v>20</v>
      </c>
    </row>
    <row r="102" spans="2:11" x14ac:dyDescent="0.2">
      <c r="B102">
        <v>2581</v>
      </c>
      <c r="C102" t="s">
        <v>118</v>
      </c>
      <c r="D102" s="1">
        <v>45070</v>
      </c>
      <c r="E102">
        <v>0</v>
      </c>
      <c r="H102">
        <f t="shared" si="1"/>
        <v>102</v>
      </c>
      <c r="J102" t="s">
        <v>203</v>
      </c>
      <c r="K102">
        <v>20</v>
      </c>
    </row>
    <row r="103" spans="2:11" x14ac:dyDescent="0.2">
      <c r="B103">
        <v>2582</v>
      </c>
      <c r="C103" t="s">
        <v>253</v>
      </c>
      <c r="D103" s="1">
        <v>45070</v>
      </c>
      <c r="E103">
        <v>7.2199999999999999E-3</v>
      </c>
      <c r="H103">
        <f t="shared" si="1"/>
        <v>103</v>
      </c>
      <c r="J103" t="s">
        <v>203</v>
      </c>
      <c r="K103">
        <v>20</v>
      </c>
    </row>
    <row r="104" spans="2:11" x14ac:dyDescent="0.2">
      <c r="B104">
        <v>2571</v>
      </c>
      <c r="C104" t="s">
        <v>112</v>
      </c>
      <c r="D104" s="1">
        <v>45070</v>
      </c>
      <c r="E104">
        <v>0.42499999999999999</v>
      </c>
      <c r="H104">
        <f t="shared" si="1"/>
        <v>104</v>
      </c>
      <c r="J104" t="s">
        <v>203</v>
      </c>
      <c r="K104">
        <v>8</v>
      </c>
    </row>
    <row r="105" spans="2:11" x14ac:dyDescent="0.2">
      <c r="B105">
        <v>2570</v>
      </c>
      <c r="C105" t="s">
        <v>111</v>
      </c>
      <c r="D105" s="1">
        <v>45070</v>
      </c>
      <c r="E105">
        <v>0.437</v>
      </c>
      <c r="H105">
        <f t="shared" si="1"/>
        <v>105</v>
      </c>
      <c r="J105" t="s">
        <v>203</v>
      </c>
      <c r="K105">
        <v>8</v>
      </c>
    </row>
    <row r="106" spans="2:11" x14ac:dyDescent="0.2">
      <c r="B106">
        <v>2569</v>
      </c>
      <c r="C106" t="s">
        <v>114</v>
      </c>
      <c r="D106" s="1">
        <v>45070</v>
      </c>
      <c r="E106">
        <v>0.41399999999999998</v>
      </c>
      <c r="H106">
        <f t="shared" si="1"/>
        <v>106</v>
      </c>
      <c r="J106" t="s">
        <v>203</v>
      </c>
      <c r="K106">
        <v>8</v>
      </c>
    </row>
    <row r="107" spans="2:11" x14ac:dyDescent="0.2">
      <c r="B107">
        <v>2568</v>
      </c>
      <c r="C107" t="s">
        <v>113</v>
      </c>
      <c r="D107" s="1">
        <v>45070</v>
      </c>
      <c r="E107">
        <v>0.15679999999999999</v>
      </c>
      <c r="H107">
        <f t="shared" si="1"/>
        <v>107</v>
      </c>
      <c r="J107" t="s">
        <v>203</v>
      </c>
      <c r="K107">
        <v>8</v>
      </c>
    </row>
    <row r="108" spans="2:11" x14ac:dyDescent="0.2">
      <c r="B108">
        <v>2567</v>
      </c>
      <c r="C108" t="s">
        <v>115</v>
      </c>
      <c r="D108" s="1">
        <v>45070</v>
      </c>
      <c r="E108">
        <v>8.0199999999999994E-2</v>
      </c>
      <c r="H108">
        <f t="shared" si="1"/>
        <v>108</v>
      </c>
      <c r="J108" t="s">
        <v>203</v>
      </c>
      <c r="K108">
        <v>8</v>
      </c>
    </row>
    <row r="109" spans="2:11" x14ac:dyDescent="0.2">
      <c r="B109">
        <v>2566</v>
      </c>
      <c r="C109" t="s">
        <v>117</v>
      </c>
      <c r="D109" s="1">
        <v>45070</v>
      </c>
      <c r="E109">
        <v>5.11E-2</v>
      </c>
      <c r="H109">
        <f t="shared" si="1"/>
        <v>109</v>
      </c>
      <c r="J109" t="s">
        <v>203</v>
      </c>
      <c r="K109">
        <v>8</v>
      </c>
    </row>
    <row r="110" spans="2:11" x14ac:dyDescent="0.2">
      <c r="B110">
        <v>2565</v>
      </c>
      <c r="C110" t="s">
        <v>116</v>
      </c>
      <c r="D110" s="1">
        <v>45070</v>
      </c>
      <c r="E110">
        <v>6.0000000000000001E-3</v>
      </c>
      <c r="H110">
        <f t="shared" si="1"/>
        <v>110</v>
      </c>
      <c r="J110" t="s">
        <v>203</v>
      </c>
      <c r="K110">
        <v>8</v>
      </c>
    </row>
    <row r="111" spans="2:11" x14ac:dyDescent="0.2">
      <c r="B111">
        <v>2564</v>
      </c>
      <c r="C111" t="s">
        <v>119</v>
      </c>
      <c r="D111" s="1">
        <v>45070</v>
      </c>
      <c r="E111">
        <v>7.2199999999999999E-3</v>
      </c>
      <c r="H111">
        <f t="shared" si="1"/>
        <v>111</v>
      </c>
      <c r="J111" t="s">
        <v>203</v>
      </c>
      <c r="K111">
        <v>8</v>
      </c>
    </row>
    <row r="112" spans="2:11" x14ac:dyDescent="0.2">
      <c r="B112">
        <v>2563</v>
      </c>
      <c r="C112" t="s">
        <v>118</v>
      </c>
      <c r="D112" s="1">
        <v>45070</v>
      </c>
      <c r="E112">
        <v>0</v>
      </c>
      <c r="H112">
        <f t="shared" si="1"/>
        <v>112</v>
      </c>
      <c r="J112" t="s">
        <v>203</v>
      </c>
      <c r="K112">
        <v>8</v>
      </c>
    </row>
    <row r="113" spans="2:11" x14ac:dyDescent="0.2">
      <c r="B113">
        <v>2691</v>
      </c>
      <c r="C113" t="s">
        <v>272</v>
      </c>
      <c r="D113" s="1">
        <v>45076</v>
      </c>
      <c r="E113">
        <v>0.24099999999999999</v>
      </c>
      <c r="H113">
        <f t="shared" si="1"/>
        <v>113</v>
      </c>
      <c r="J113" t="s">
        <v>81</v>
      </c>
      <c r="K113">
        <v>20</v>
      </c>
    </row>
    <row r="114" spans="2:11" x14ac:dyDescent="0.2">
      <c r="B114">
        <v>2690</v>
      </c>
      <c r="C114" t="s">
        <v>273</v>
      </c>
      <c r="D114" s="1">
        <v>45076</v>
      </c>
      <c r="E114">
        <v>0.28199999999999997</v>
      </c>
      <c r="H114">
        <f t="shared" si="1"/>
        <v>114</v>
      </c>
      <c r="J114" t="s">
        <v>81</v>
      </c>
      <c r="K114">
        <v>20</v>
      </c>
    </row>
    <row r="115" spans="2:11" x14ac:dyDescent="0.2">
      <c r="B115">
        <v>2689</v>
      </c>
      <c r="C115" t="s">
        <v>274</v>
      </c>
      <c r="D115" s="1">
        <v>45076</v>
      </c>
      <c r="E115">
        <v>0.25800000000000001</v>
      </c>
      <c r="H115">
        <f t="shared" si="1"/>
        <v>115</v>
      </c>
      <c r="J115" t="s">
        <v>81</v>
      </c>
      <c r="K115">
        <v>20</v>
      </c>
    </row>
    <row r="116" spans="2:11" x14ac:dyDescent="0.2">
      <c r="B116">
        <v>2688</v>
      </c>
      <c r="C116" t="s">
        <v>275</v>
      </c>
      <c r="D116" s="1">
        <v>45076</v>
      </c>
      <c r="E116">
        <v>0.15670000000000001</v>
      </c>
      <c r="H116">
        <f t="shared" si="1"/>
        <v>116</v>
      </c>
      <c r="J116" t="s">
        <v>81</v>
      </c>
      <c r="K116">
        <v>20</v>
      </c>
    </row>
    <row r="117" spans="2:11" x14ac:dyDescent="0.2">
      <c r="B117">
        <v>2685</v>
      </c>
      <c r="C117" t="s">
        <v>272</v>
      </c>
      <c r="D117" s="1">
        <v>45076</v>
      </c>
      <c r="E117">
        <v>0.24099999999999999</v>
      </c>
      <c r="H117">
        <f t="shared" si="1"/>
        <v>117</v>
      </c>
      <c r="J117" t="s">
        <v>120</v>
      </c>
      <c r="K117">
        <v>20</v>
      </c>
    </row>
    <row r="118" spans="2:11" x14ac:dyDescent="0.2">
      <c r="B118">
        <v>2684</v>
      </c>
      <c r="C118" t="s">
        <v>273</v>
      </c>
      <c r="D118" s="1">
        <v>45076</v>
      </c>
      <c r="E118">
        <v>0.28199999999999997</v>
      </c>
      <c r="H118">
        <f t="shared" si="1"/>
        <v>118</v>
      </c>
      <c r="J118" t="s">
        <v>120</v>
      </c>
      <c r="K118">
        <v>20</v>
      </c>
    </row>
    <row r="119" spans="2:11" x14ac:dyDescent="0.2">
      <c r="B119">
        <v>2683</v>
      </c>
      <c r="C119" t="s">
        <v>274</v>
      </c>
      <c r="D119" s="1">
        <v>45076</v>
      </c>
      <c r="E119">
        <v>0.25800000000000001</v>
      </c>
      <c r="H119">
        <f t="shared" si="1"/>
        <v>119</v>
      </c>
      <c r="J119" t="s">
        <v>120</v>
      </c>
      <c r="K119">
        <v>20</v>
      </c>
    </row>
    <row r="120" spans="2:11" x14ac:dyDescent="0.2">
      <c r="B120">
        <v>2682</v>
      </c>
      <c r="C120" t="s">
        <v>275</v>
      </c>
      <c r="D120" s="1">
        <v>45076</v>
      </c>
      <c r="E120">
        <v>0.15670000000000001</v>
      </c>
      <c r="H120">
        <f t="shared" si="1"/>
        <v>120</v>
      </c>
      <c r="J120" t="s">
        <v>120</v>
      </c>
      <c r="K120">
        <v>20</v>
      </c>
    </row>
    <row r="121" spans="2:11" x14ac:dyDescent="0.2">
      <c r="B121">
        <v>2679</v>
      </c>
      <c r="C121" t="s">
        <v>272</v>
      </c>
      <c r="D121" s="1">
        <v>45076</v>
      </c>
      <c r="E121">
        <v>0.24099999999999999</v>
      </c>
      <c r="H121">
        <f t="shared" si="1"/>
        <v>121</v>
      </c>
      <c r="J121" t="s">
        <v>120</v>
      </c>
      <c r="K121">
        <v>8</v>
      </c>
    </row>
    <row r="122" spans="2:11" x14ac:dyDescent="0.2">
      <c r="B122">
        <v>2678</v>
      </c>
      <c r="C122" t="s">
        <v>273</v>
      </c>
      <c r="D122" s="1">
        <v>45076</v>
      </c>
      <c r="E122">
        <v>0.28199999999999997</v>
      </c>
      <c r="H122">
        <f t="shared" si="1"/>
        <v>122</v>
      </c>
      <c r="J122" t="s">
        <v>120</v>
      </c>
      <c r="K122">
        <v>8</v>
      </c>
    </row>
    <row r="123" spans="2:11" x14ac:dyDescent="0.2">
      <c r="B123">
        <v>2677</v>
      </c>
      <c r="C123" t="s">
        <v>274</v>
      </c>
      <c r="D123" s="1">
        <v>45076</v>
      </c>
      <c r="E123">
        <v>0.25800000000000001</v>
      </c>
      <c r="H123">
        <f t="shared" si="1"/>
        <v>123</v>
      </c>
      <c r="J123" t="s">
        <v>120</v>
      </c>
      <c r="K123">
        <v>8</v>
      </c>
    </row>
    <row r="124" spans="2:11" x14ac:dyDescent="0.2">
      <c r="B124">
        <v>2676</v>
      </c>
      <c r="C124" t="s">
        <v>275</v>
      </c>
      <c r="D124" s="1">
        <v>45076</v>
      </c>
      <c r="E124">
        <v>0.15670000000000001</v>
      </c>
      <c r="H124">
        <f t="shared" si="1"/>
        <v>124</v>
      </c>
      <c r="J124" t="s">
        <v>120</v>
      </c>
      <c r="K124">
        <v>8</v>
      </c>
    </row>
    <row r="125" spans="2:11" x14ac:dyDescent="0.2">
      <c r="B125">
        <v>2673</v>
      </c>
      <c r="C125" t="s">
        <v>272</v>
      </c>
      <c r="D125" s="1">
        <v>45076</v>
      </c>
      <c r="E125">
        <v>0.24099999999999999</v>
      </c>
      <c r="H125">
        <f t="shared" si="1"/>
        <v>125</v>
      </c>
      <c r="J125" t="s">
        <v>81</v>
      </c>
      <c r="K125">
        <v>7.8</v>
      </c>
    </row>
    <row r="126" spans="2:11" x14ac:dyDescent="0.2">
      <c r="B126">
        <v>2672</v>
      </c>
      <c r="C126" t="s">
        <v>273</v>
      </c>
      <c r="D126" s="1">
        <v>45076</v>
      </c>
      <c r="E126">
        <v>0.28199999999999997</v>
      </c>
      <c r="H126">
        <f t="shared" si="1"/>
        <v>126</v>
      </c>
      <c r="J126" t="s">
        <v>81</v>
      </c>
      <c r="K126">
        <v>7.8</v>
      </c>
    </row>
    <row r="127" spans="2:11" x14ac:dyDescent="0.2">
      <c r="B127">
        <v>2671</v>
      </c>
      <c r="C127" t="s">
        <v>274</v>
      </c>
      <c r="D127" s="1">
        <v>45076</v>
      </c>
      <c r="E127">
        <v>0.25800000000000001</v>
      </c>
      <c r="H127">
        <f t="shared" si="1"/>
        <v>127</v>
      </c>
      <c r="J127" t="s">
        <v>81</v>
      </c>
      <c r="K127">
        <v>7.8</v>
      </c>
    </row>
    <row r="128" spans="2:11" x14ac:dyDescent="0.2">
      <c r="B128">
        <v>2670</v>
      </c>
      <c r="C128" t="s">
        <v>275</v>
      </c>
      <c r="D128" s="1">
        <v>45076</v>
      </c>
      <c r="E128">
        <v>0.15670000000000001</v>
      </c>
      <c r="H128">
        <f t="shared" si="1"/>
        <v>128</v>
      </c>
      <c r="J128" t="s">
        <v>81</v>
      </c>
      <c r="K128">
        <v>7.8</v>
      </c>
    </row>
    <row r="129" spans="2:11" x14ac:dyDescent="0.2">
      <c r="B129">
        <v>2667</v>
      </c>
      <c r="C129" t="s">
        <v>272</v>
      </c>
      <c r="D129" s="1">
        <v>45076</v>
      </c>
      <c r="E129">
        <v>0.24099999999999999</v>
      </c>
      <c r="H129">
        <f t="shared" si="1"/>
        <v>129</v>
      </c>
      <c r="J129" t="s">
        <v>69</v>
      </c>
      <c r="K129">
        <v>40</v>
      </c>
    </row>
    <row r="130" spans="2:11" x14ac:dyDescent="0.2">
      <c r="B130">
        <v>2666</v>
      </c>
      <c r="C130" t="s">
        <v>273</v>
      </c>
      <c r="D130" s="1">
        <v>45076</v>
      </c>
      <c r="E130">
        <v>0.28199999999999997</v>
      </c>
      <c r="H130">
        <f t="shared" si="1"/>
        <v>130</v>
      </c>
      <c r="J130" t="s">
        <v>69</v>
      </c>
      <c r="K130">
        <v>40</v>
      </c>
    </row>
    <row r="131" spans="2:11" x14ac:dyDescent="0.2">
      <c r="B131">
        <v>2665</v>
      </c>
      <c r="C131" t="s">
        <v>274</v>
      </c>
      <c r="D131" s="1">
        <v>45076</v>
      </c>
      <c r="E131">
        <v>0.25800000000000001</v>
      </c>
      <c r="H131">
        <f t="shared" si="1"/>
        <v>131</v>
      </c>
      <c r="J131" t="s">
        <v>69</v>
      </c>
      <c r="K131">
        <v>40</v>
      </c>
    </row>
    <row r="132" spans="2:11" x14ac:dyDescent="0.2">
      <c r="B132">
        <v>2664</v>
      </c>
      <c r="C132" t="s">
        <v>275</v>
      </c>
      <c r="D132" s="1">
        <v>45076</v>
      </c>
      <c r="E132">
        <v>0.15670000000000001</v>
      </c>
      <c r="H132">
        <f t="shared" si="1"/>
        <v>132</v>
      </c>
      <c r="J132" t="s">
        <v>69</v>
      </c>
      <c r="K132">
        <v>40</v>
      </c>
    </row>
    <row r="133" spans="2:11" x14ac:dyDescent="0.2">
      <c r="B133">
        <v>2661</v>
      </c>
      <c r="C133" t="s">
        <v>272</v>
      </c>
      <c r="D133" s="1">
        <v>45076</v>
      </c>
      <c r="E133">
        <v>0.24099999999999999</v>
      </c>
      <c r="H133">
        <f t="shared" ref="H133:H136" si="2">H132+1</f>
        <v>133</v>
      </c>
      <c r="J133" t="s">
        <v>203</v>
      </c>
      <c r="K133">
        <v>40</v>
      </c>
    </row>
    <row r="134" spans="2:11" x14ac:dyDescent="0.2">
      <c r="B134">
        <v>2660</v>
      </c>
      <c r="C134" t="s">
        <v>273</v>
      </c>
      <c r="D134" s="1">
        <v>45076</v>
      </c>
      <c r="E134">
        <v>0.28199999999999997</v>
      </c>
      <c r="H134">
        <f t="shared" si="2"/>
        <v>134</v>
      </c>
      <c r="J134" t="s">
        <v>203</v>
      </c>
      <c r="K134">
        <v>40</v>
      </c>
    </row>
    <row r="135" spans="2:11" x14ac:dyDescent="0.2">
      <c r="B135">
        <v>2659</v>
      </c>
      <c r="C135" t="s">
        <v>274</v>
      </c>
      <c r="D135" s="1">
        <v>45076</v>
      </c>
      <c r="E135">
        <v>0.25800000000000001</v>
      </c>
      <c r="H135">
        <f t="shared" si="2"/>
        <v>135</v>
      </c>
      <c r="J135" t="s">
        <v>203</v>
      </c>
      <c r="K135">
        <v>40</v>
      </c>
    </row>
    <row r="136" spans="2:11" x14ac:dyDescent="0.2">
      <c r="B136">
        <v>2657</v>
      </c>
      <c r="C136" t="s">
        <v>275</v>
      </c>
      <c r="D136" s="1">
        <v>45076</v>
      </c>
      <c r="E136">
        <v>0.15670000000000001</v>
      </c>
      <c r="H136">
        <f t="shared" si="2"/>
        <v>136</v>
      </c>
      <c r="J136" t="s">
        <v>203</v>
      </c>
      <c r="K136">
        <v>40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B76E-4209-E245-8100-CB1126F30182}">
  <dimension ref="A1:AB135"/>
  <sheetViews>
    <sheetView tabSelected="1" topLeftCell="A43" workbookViewId="0">
      <selection activeCell="B46" sqref="B46"/>
    </sheetView>
  </sheetViews>
  <sheetFormatPr baseColWidth="10" defaultRowHeight="16" x14ac:dyDescent="0.2"/>
  <sheetData>
    <row r="1" spans="1:28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377</v>
      </c>
      <c r="Z1" t="s">
        <v>378</v>
      </c>
      <c r="AA1" t="s">
        <v>372</v>
      </c>
      <c r="AB1" t="s">
        <v>373</v>
      </c>
    </row>
    <row r="2" spans="1:28" ht="34" x14ac:dyDescent="0.2">
      <c r="A2" s="13">
        <v>1</v>
      </c>
      <c r="B2" t="s">
        <v>232</v>
      </c>
      <c r="C2" s="11" t="s">
        <v>184</v>
      </c>
      <c r="D2">
        <v>0.437</v>
      </c>
      <c r="E2" t="s">
        <v>155</v>
      </c>
      <c r="F2">
        <v>-1</v>
      </c>
      <c r="G2">
        <v>81.2</v>
      </c>
      <c r="H2">
        <v>20105</v>
      </c>
      <c r="I2">
        <v>4100</v>
      </c>
      <c r="J2">
        <v>10161</v>
      </c>
      <c r="K2" s="12">
        <v>6.0609999999999996E-9</v>
      </c>
      <c r="L2">
        <v>20</v>
      </c>
      <c r="M2">
        <v>1</v>
      </c>
      <c r="N2" t="s">
        <v>81</v>
      </c>
      <c r="O2">
        <v>20</v>
      </c>
      <c r="P2">
        <v>0.2</v>
      </c>
      <c r="Q2">
        <v>82.541048733452101</v>
      </c>
      <c r="R2">
        <v>3787</v>
      </c>
      <c r="S2">
        <v>2131</v>
      </c>
      <c r="T2">
        <v>3590</v>
      </c>
      <c r="U2">
        <v>1.05338345864661</v>
      </c>
      <c r="V2">
        <v>2135</v>
      </c>
      <c r="W2">
        <v>2359</v>
      </c>
      <c r="X2">
        <v>224</v>
      </c>
      <c r="Y2">
        <v>0.27180594832524901</v>
      </c>
      <c r="Z2">
        <v>0.31545029039493899</v>
      </c>
      <c r="AA2">
        <v>0.38208910802701779</v>
      </c>
      <c r="AB2">
        <v>0.33116775964792466</v>
      </c>
    </row>
    <row r="3" spans="1:28" ht="34" x14ac:dyDescent="0.2">
      <c r="A3" s="13">
        <v>2</v>
      </c>
      <c r="B3" t="s">
        <v>233</v>
      </c>
      <c r="C3" s="11" t="s">
        <v>182</v>
      </c>
      <c r="D3">
        <v>0.42399999999999999</v>
      </c>
      <c r="E3" t="s">
        <v>155</v>
      </c>
      <c r="F3">
        <v>-1</v>
      </c>
      <c r="G3">
        <v>81.2</v>
      </c>
      <c r="H3">
        <v>20105</v>
      </c>
      <c r="I3">
        <v>4100</v>
      </c>
      <c r="J3">
        <v>10233</v>
      </c>
      <c r="K3" s="12">
        <v>6.1329999999999903E-9</v>
      </c>
      <c r="L3">
        <v>20</v>
      </c>
      <c r="M3">
        <v>1</v>
      </c>
      <c r="N3" t="s">
        <v>81</v>
      </c>
      <c r="O3">
        <v>20</v>
      </c>
      <c r="P3">
        <v>0.2</v>
      </c>
      <c r="Q3">
        <v>84.513744450365095</v>
      </c>
      <c r="R3">
        <v>3787</v>
      </c>
      <c r="S3">
        <v>2135</v>
      </c>
      <c r="T3">
        <v>3587</v>
      </c>
      <c r="U3">
        <v>1.0684210526315701</v>
      </c>
      <c r="V3">
        <v>2139</v>
      </c>
      <c r="W3">
        <v>2363</v>
      </c>
      <c r="X3">
        <v>224</v>
      </c>
      <c r="Y3">
        <v>0.27526313121389501</v>
      </c>
      <c r="Z3">
        <v>0.31933618664001601</v>
      </c>
      <c r="AA3">
        <v>0.38685626067117423</v>
      </c>
      <c r="AB3">
        <v>0.33525134090213077</v>
      </c>
    </row>
    <row r="4" spans="1:28" ht="34" x14ac:dyDescent="0.2">
      <c r="A4" s="13">
        <v>3</v>
      </c>
      <c r="B4" t="s">
        <v>190</v>
      </c>
      <c r="C4" s="11" t="s">
        <v>165</v>
      </c>
      <c r="D4">
        <v>0.1552</v>
      </c>
      <c r="E4" t="s">
        <v>155</v>
      </c>
      <c r="F4">
        <v>100</v>
      </c>
      <c r="G4">
        <v>81.2</v>
      </c>
      <c r="H4">
        <v>20105</v>
      </c>
      <c r="I4">
        <v>4100</v>
      </c>
      <c r="J4">
        <v>10107</v>
      </c>
      <c r="K4" s="12">
        <v>6.0069999999999996E-9</v>
      </c>
      <c r="L4">
        <v>20</v>
      </c>
      <c r="M4">
        <v>1</v>
      </c>
      <c r="N4" t="s">
        <v>81</v>
      </c>
      <c r="O4">
        <v>20</v>
      </c>
      <c r="P4">
        <v>0.2</v>
      </c>
      <c r="Q4">
        <v>81.076814771357704</v>
      </c>
      <c r="R4">
        <v>3490</v>
      </c>
      <c r="S4">
        <v>2174</v>
      </c>
      <c r="T4">
        <v>3287</v>
      </c>
      <c r="U4">
        <v>7.9060150375939804</v>
      </c>
      <c r="V4">
        <v>2182</v>
      </c>
      <c r="W4">
        <v>2699</v>
      </c>
      <c r="X4">
        <v>517</v>
      </c>
      <c r="Y4">
        <v>0.17205058595318301</v>
      </c>
      <c r="Z4">
        <v>0.210081834124313</v>
      </c>
      <c r="AA4">
        <v>0.2813976613712047</v>
      </c>
      <c r="AB4">
        <v>0.22631023106207662</v>
      </c>
    </row>
    <row r="5" spans="1:28" ht="34" x14ac:dyDescent="0.2">
      <c r="A5" s="13">
        <v>4</v>
      </c>
      <c r="B5" t="s">
        <v>234</v>
      </c>
      <c r="C5" s="11" t="s">
        <v>167</v>
      </c>
      <c r="D5">
        <v>0.41399999999999998</v>
      </c>
      <c r="E5" t="s">
        <v>155</v>
      </c>
      <c r="F5">
        <v>-1</v>
      </c>
      <c r="G5">
        <v>81.2</v>
      </c>
      <c r="H5">
        <v>20105</v>
      </c>
      <c r="I5">
        <v>4100</v>
      </c>
      <c r="J5">
        <v>10017</v>
      </c>
      <c r="K5" s="12">
        <v>5.9169999999999902E-9</v>
      </c>
      <c r="L5">
        <v>20</v>
      </c>
      <c r="M5">
        <v>1</v>
      </c>
      <c r="N5" t="s">
        <v>81</v>
      </c>
      <c r="O5">
        <v>20</v>
      </c>
      <c r="P5">
        <v>0.2</v>
      </c>
      <c r="Q5">
        <v>78.665544502324593</v>
      </c>
      <c r="R5">
        <v>3779</v>
      </c>
      <c r="S5">
        <v>2138</v>
      </c>
      <c r="T5">
        <v>3578</v>
      </c>
      <c r="U5">
        <v>1.0714285714285701</v>
      </c>
      <c r="V5">
        <v>2150</v>
      </c>
      <c r="W5">
        <v>2371</v>
      </c>
      <c r="X5">
        <v>221</v>
      </c>
      <c r="Y5">
        <v>0.26775915057459398</v>
      </c>
      <c r="Z5">
        <v>0.30994273875302297</v>
      </c>
      <c r="AA5">
        <v>0.3754210015620833</v>
      </c>
      <c r="AB5">
        <v>0.32533867307313152</v>
      </c>
    </row>
    <row r="6" spans="1:28" ht="34" x14ac:dyDescent="0.2">
      <c r="A6" s="13">
        <v>5</v>
      </c>
      <c r="B6" t="s">
        <v>189</v>
      </c>
      <c r="C6" s="11" t="s">
        <v>163</v>
      </c>
      <c r="D6">
        <v>7.9600000000000004E-2</v>
      </c>
      <c r="E6" t="s">
        <v>155</v>
      </c>
      <c r="F6">
        <v>100</v>
      </c>
      <c r="G6">
        <v>81.8</v>
      </c>
      <c r="H6">
        <v>20105</v>
      </c>
      <c r="I6">
        <v>4100</v>
      </c>
      <c r="J6">
        <v>10129</v>
      </c>
      <c r="K6" s="12">
        <v>6.0289999999999898E-9</v>
      </c>
      <c r="L6">
        <v>20</v>
      </c>
      <c r="M6">
        <v>1</v>
      </c>
      <c r="N6" t="s">
        <v>81</v>
      </c>
      <c r="O6">
        <v>20</v>
      </c>
      <c r="P6">
        <v>0.2</v>
      </c>
      <c r="Q6">
        <v>81.671772724577806</v>
      </c>
      <c r="R6">
        <v>3167</v>
      </c>
      <c r="S6">
        <v>2074</v>
      </c>
      <c r="T6">
        <v>2967</v>
      </c>
      <c r="U6">
        <v>15.3586466165413</v>
      </c>
      <c r="V6">
        <v>2099</v>
      </c>
      <c r="W6">
        <v>3039</v>
      </c>
      <c r="X6">
        <v>940</v>
      </c>
      <c r="Y6">
        <v>9.6336878708845206E-2</v>
      </c>
      <c r="Z6">
        <v>0.131185737453058</v>
      </c>
      <c r="AA6">
        <v>0.20612087875209092</v>
      </c>
      <c r="AB6">
        <v>0.14790056243492056</v>
      </c>
    </row>
    <row r="7" spans="1:28" ht="34" x14ac:dyDescent="0.2">
      <c r="A7" s="13">
        <v>6</v>
      </c>
      <c r="B7" t="s">
        <v>187</v>
      </c>
      <c r="C7" s="11" t="s">
        <v>159</v>
      </c>
      <c r="D7">
        <v>7.0000000000000001E-3</v>
      </c>
      <c r="E7" t="s">
        <v>155</v>
      </c>
      <c r="F7">
        <v>39.799999999999997</v>
      </c>
      <c r="G7">
        <v>26</v>
      </c>
      <c r="H7">
        <v>20105</v>
      </c>
      <c r="I7">
        <v>4100</v>
      </c>
      <c r="J7">
        <v>7502</v>
      </c>
      <c r="K7" s="12">
        <v>3.4019999999999901E-9</v>
      </c>
      <c r="L7">
        <v>20</v>
      </c>
      <c r="M7">
        <v>1</v>
      </c>
      <c r="N7" t="s">
        <v>81</v>
      </c>
      <c r="O7">
        <v>20</v>
      </c>
      <c r="P7">
        <v>0.2</v>
      </c>
      <c r="Q7">
        <v>26.0045913291228</v>
      </c>
      <c r="R7">
        <v>1947</v>
      </c>
      <c r="S7">
        <v>1727</v>
      </c>
      <c r="T7">
        <v>1727</v>
      </c>
      <c r="U7">
        <v>31.609022556390901</v>
      </c>
      <c r="V7">
        <v>1791</v>
      </c>
      <c r="W7">
        <v>4034</v>
      </c>
      <c r="X7">
        <v>2243</v>
      </c>
      <c r="Y7">
        <v>0</v>
      </c>
      <c r="Z7">
        <v>0</v>
      </c>
      <c r="AA7">
        <v>4.6753295853033526E-2</v>
      </c>
      <c r="AB7">
        <v>1.4830310048299926E-3</v>
      </c>
    </row>
    <row r="8" spans="1:28" ht="34" x14ac:dyDescent="0.2">
      <c r="A8" s="13">
        <v>7</v>
      </c>
      <c r="B8" t="s">
        <v>188</v>
      </c>
      <c r="C8" s="11" t="s">
        <v>177</v>
      </c>
      <c r="D8">
        <v>5.11E-2</v>
      </c>
      <c r="E8" t="s">
        <v>155</v>
      </c>
      <c r="F8">
        <v>100</v>
      </c>
      <c r="G8">
        <v>81.8</v>
      </c>
      <c r="H8">
        <v>20105</v>
      </c>
      <c r="I8">
        <v>4100</v>
      </c>
      <c r="J8">
        <v>10131</v>
      </c>
      <c r="K8" s="12">
        <v>6.0309999999999896E-9</v>
      </c>
      <c r="L8">
        <v>20</v>
      </c>
      <c r="M8">
        <v>1</v>
      </c>
      <c r="N8" t="s">
        <v>81</v>
      </c>
      <c r="O8">
        <v>20</v>
      </c>
      <c r="P8">
        <v>0.2</v>
      </c>
      <c r="Q8">
        <v>81.725967661855705</v>
      </c>
      <c r="R8">
        <v>2918</v>
      </c>
      <c r="S8">
        <v>1934</v>
      </c>
      <c r="T8">
        <v>2710</v>
      </c>
      <c r="U8">
        <v>19.878195488721801</v>
      </c>
      <c r="V8">
        <v>1967</v>
      </c>
      <c r="W8">
        <v>3251</v>
      </c>
      <c r="X8">
        <v>1284</v>
      </c>
      <c r="Y8">
        <v>5.1166775712996902E-2</v>
      </c>
      <c r="Z8">
        <v>8.50074164001976E-2</v>
      </c>
      <c r="AA8">
        <v>0.16100877743027531</v>
      </c>
      <c r="AB8">
        <v>0.10186095540143456</v>
      </c>
    </row>
    <row r="9" spans="1:28" ht="34" x14ac:dyDescent="0.2">
      <c r="A9" s="13">
        <v>8</v>
      </c>
      <c r="B9" t="s">
        <v>185</v>
      </c>
      <c r="C9" s="11" t="s">
        <v>154</v>
      </c>
      <c r="D9">
        <v>0</v>
      </c>
      <c r="E9" t="s">
        <v>155</v>
      </c>
      <c r="F9">
        <v>2.6</v>
      </c>
      <c r="G9">
        <v>2.5</v>
      </c>
      <c r="H9">
        <v>20105</v>
      </c>
      <c r="I9">
        <v>4080</v>
      </c>
      <c r="J9">
        <v>5129</v>
      </c>
      <c r="K9" s="12">
        <v>1.049E-9</v>
      </c>
      <c r="L9">
        <v>20</v>
      </c>
      <c r="M9">
        <v>1</v>
      </c>
      <c r="N9" t="s">
        <v>81</v>
      </c>
      <c r="O9">
        <v>20</v>
      </c>
      <c r="P9">
        <v>0.2</v>
      </c>
      <c r="Q9">
        <v>2.4724777435929299</v>
      </c>
      <c r="R9">
        <v>1747</v>
      </c>
      <c r="S9">
        <v>1551</v>
      </c>
      <c r="T9">
        <v>1551</v>
      </c>
      <c r="U9">
        <v>35.921804511278197</v>
      </c>
      <c r="V9">
        <v>2470</v>
      </c>
      <c r="W9">
        <v>4095</v>
      </c>
      <c r="X9">
        <v>1625</v>
      </c>
      <c r="Y9">
        <v>8.7365302747159004E-3</v>
      </c>
      <c r="Z9">
        <v>0</v>
      </c>
      <c r="AA9">
        <v>2.7841940589586795E-2</v>
      </c>
      <c r="AB9">
        <v>3.7161098595328988E-3</v>
      </c>
    </row>
    <row r="10" spans="1:28" ht="34" x14ac:dyDescent="0.2">
      <c r="A10" s="13">
        <v>9</v>
      </c>
      <c r="B10" t="s">
        <v>186</v>
      </c>
      <c r="C10" s="11" t="s">
        <v>157</v>
      </c>
      <c r="D10">
        <v>7.3499999999999998E-3</v>
      </c>
      <c r="E10" t="s">
        <v>155</v>
      </c>
      <c r="F10">
        <v>100</v>
      </c>
      <c r="G10">
        <v>81.5</v>
      </c>
      <c r="H10">
        <v>20105</v>
      </c>
      <c r="I10">
        <v>4100</v>
      </c>
      <c r="J10">
        <v>10119</v>
      </c>
      <c r="K10" s="12">
        <v>6.0189999999999901E-9</v>
      </c>
      <c r="L10">
        <v>20</v>
      </c>
      <c r="M10">
        <v>1</v>
      </c>
      <c r="N10" t="s">
        <v>81</v>
      </c>
      <c r="O10">
        <v>20</v>
      </c>
      <c r="P10">
        <v>0.2</v>
      </c>
      <c r="Q10">
        <v>81.4010676647423</v>
      </c>
      <c r="R10">
        <v>2046</v>
      </c>
      <c r="S10">
        <v>1250</v>
      </c>
      <c r="T10">
        <v>1823</v>
      </c>
      <c r="U10">
        <v>28.6142857142857</v>
      </c>
      <c r="V10">
        <v>1306</v>
      </c>
      <c r="W10">
        <v>3598</v>
      </c>
      <c r="X10">
        <v>2292</v>
      </c>
      <c r="Y10">
        <v>0</v>
      </c>
      <c r="Z10">
        <v>0</v>
      </c>
      <c r="AA10">
        <v>4.2341621922752738E-2</v>
      </c>
      <c r="AB10">
        <v>-1.3970695990944115E-2</v>
      </c>
    </row>
    <row r="11" spans="1:28" ht="34" x14ac:dyDescent="0.2">
      <c r="A11" s="13">
        <v>10</v>
      </c>
      <c r="B11" t="s">
        <v>181</v>
      </c>
      <c r="C11" s="11" t="s">
        <v>182</v>
      </c>
      <c r="D11">
        <v>0.42399999999999999</v>
      </c>
      <c r="E11" t="s">
        <v>155</v>
      </c>
      <c r="F11">
        <v>100</v>
      </c>
      <c r="G11">
        <v>54.3</v>
      </c>
      <c r="H11">
        <v>20945</v>
      </c>
      <c r="I11">
        <v>4100</v>
      </c>
      <c r="J11">
        <v>9014</v>
      </c>
      <c r="K11" s="12">
        <v>4.9140000000000002E-9</v>
      </c>
      <c r="L11">
        <v>20</v>
      </c>
      <c r="M11">
        <v>2</v>
      </c>
      <c r="N11" t="s">
        <v>120</v>
      </c>
      <c r="O11">
        <v>20</v>
      </c>
      <c r="P11">
        <v>0.2</v>
      </c>
      <c r="Q11">
        <v>54.256493020021701</v>
      </c>
      <c r="R11">
        <v>1711</v>
      </c>
      <c r="S11">
        <v>463</v>
      </c>
      <c r="T11">
        <v>1459</v>
      </c>
      <c r="U11">
        <v>5.4639097744360896</v>
      </c>
      <c r="V11">
        <v>498</v>
      </c>
      <c r="W11">
        <v>2274</v>
      </c>
      <c r="X11">
        <v>1776</v>
      </c>
      <c r="Y11">
        <v>0</v>
      </c>
      <c r="Z11">
        <v>0</v>
      </c>
      <c r="AA11">
        <v>-3.4704427501713514E-2</v>
      </c>
      <c r="AB11">
        <v>-3.4372017777437897E-2</v>
      </c>
    </row>
    <row r="12" spans="1:28" ht="34" x14ac:dyDescent="0.2">
      <c r="A12" s="13">
        <v>11</v>
      </c>
      <c r="B12" t="s">
        <v>183</v>
      </c>
      <c r="C12" s="11" t="s">
        <v>184</v>
      </c>
      <c r="D12">
        <v>0.437</v>
      </c>
      <c r="E12" t="s">
        <v>155</v>
      </c>
      <c r="F12">
        <v>100</v>
      </c>
      <c r="G12">
        <v>52.5</v>
      </c>
      <c r="H12">
        <v>20945</v>
      </c>
      <c r="I12">
        <v>4100</v>
      </c>
      <c r="J12">
        <v>8932</v>
      </c>
      <c r="K12" s="12">
        <v>4.8319999999999999E-9</v>
      </c>
      <c r="L12">
        <v>20</v>
      </c>
      <c r="M12">
        <v>2</v>
      </c>
      <c r="N12" t="s">
        <v>120</v>
      </c>
      <c r="O12">
        <v>20</v>
      </c>
      <c r="P12">
        <v>0.2</v>
      </c>
      <c r="Q12">
        <v>52.460843085768097</v>
      </c>
      <c r="R12">
        <v>1707</v>
      </c>
      <c r="S12">
        <v>462</v>
      </c>
      <c r="T12">
        <v>1455</v>
      </c>
      <c r="U12">
        <v>5.2165413533834499</v>
      </c>
      <c r="V12">
        <v>475</v>
      </c>
      <c r="W12">
        <v>2270</v>
      </c>
      <c r="X12">
        <v>1795</v>
      </c>
      <c r="Y12">
        <v>0</v>
      </c>
      <c r="Z12">
        <v>0</v>
      </c>
      <c r="AA12">
        <v>-3.9690090855139248E-2</v>
      </c>
      <c r="AB12">
        <v>-3.8877103186838929E-2</v>
      </c>
    </row>
    <row r="13" spans="1:28" ht="34" x14ac:dyDescent="0.2">
      <c r="A13" s="13">
        <v>12</v>
      </c>
      <c r="B13" t="s">
        <v>180</v>
      </c>
      <c r="C13" s="11" t="s">
        <v>167</v>
      </c>
      <c r="D13">
        <v>0.41399999999999998</v>
      </c>
      <c r="E13" t="s">
        <v>155</v>
      </c>
      <c r="F13">
        <v>100</v>
      </c>
      <c r="G13">
        <v>52.1</v>
      </c>
      <c r="H13">
        <v>20945</v>
      </c>
      <c r="I13">
        <v>4100</v>
      </c>
      <c r="J13">
        <v>8911</v>
      </c>
      <c r="K13" s="12">
        <v>4.8109999999999901E-9</v>
      </c>
      <c r="L13">
        <v>20</v>
      </c>
      <c r="M13">
        <v>2</v>
      </c>
      <c r="N13" t="s">
        <v>120</v>
      </c>
      <c r="O13">
        <v>20</v>
      </c>
      <c r="P13">
        <v>0.2</v>
      </c>
      <c r="Q13">
        <v>52.005841535868697</v>
      </c>
      <c r="R13">
        <v>1707</v>
      </c>
      <c r="S13">
        <v>467</v>
      </c>
      <c r="T13">
        <v>1455</v>
      </c>
      <c r="U13">
        <v>5.7526315789473603</v>
      </c>
      <c r="V13">
        <v>483</v>
      </c>
      <c r="W13">
        <v>2275</v>
      </c>
      <c r="X13">
        <v>1792</v>
      </c>
      <c r="Y13">
        <v>0</v>
      </c>
      <c r="Z13">
        <v>0</v>
      </c>
      <c r="AA13">
        <v>-3.7760099493015557E-2</v>
      </c>
      <c r="AB13">
        <v>-3.7127816274423166E-2</v>
      </c>
    </row>
    <row r="14" spans="1:28" ht="34" x14ac:dyDescent="0.2">
      <c r="A14" s="13">
        <v>13</v>
      </c>
      <c r="B14" t="s">
        <v>179</v>
      </c>
      <c r="C14" s="11" t="s">
        <v>165</v>
      </c>
      <c r="D14">
        <v>0.1552</v>
      </c>
      <c r="E14" t="s">
        <v>155</v>
      </c>
      <c r="F14">
        <v>100</v>
      </c>
      <c r="G14">
        <v>51.7</v>
      </c>
      <c r="H14">
        <v>20945</v>
      </c>
      <c r="I14">
        <v>4100</v>
      </c>
      <c r="J14">
        <v>8895</v>
      </c>
      <c r="K14" s="12">
        <v>4.7949999999999902E-9</v>
      </c>
      <c r="L14">
        <v>20</v>
      </c>
      <c r="M14">
        <v>2</v>
      </c>
      <c r="N14" t="s">
        <v>120</v>
      </c>
      <c r="O14">
        <v>20</v>
      </c>
      <c r="P14">
        <v>0.2</v>
      </c>
      <c r="Q14">
        <v>51.660503845990903</v>
      </c>
      <c r="R14">
        <v>1722</v>
      </c>
      <c r="S14">
        <v>631</v>
      </c>
      <c r="T14">
        <v>1455</v>
      </c>
      <c r="U14">
        <v>11.3097744360902</v>
      </c>
      <c r="V14">
        <v>663</v>
      </c>
      <c r="W14">
        <v>2335</v>
      </c>
      <c r="X14">
        <v>1672</v>
      </c>
      <c r="Y14">
        <v>0</v>
      </c>
      <c r="Z14">
        <v>0</v>
      </c>
      <c r="AA14">
        <v>-8.3033383904776285E-4</v>
      </c>
      <c r="AB14">
        <v>-4.13060703583329E-3</v>
      </c>
    </row>
    <row r="15" spans="1:28" ht="34" x14ac:dyDescent="0.2">
      <c r="A15" s="13">
        <v>14</v>
      </c>
      <c r="B15" t="s">
        <v>178</v>
      </c>
      <c r="C15" s="11" t="s">
        <v>163</v>
      </c>
      <c r="D15">
        <v>7.9600000000000004E-2</v>
      </c>
      <c r="E15" t="s">
        <v>155</v>
      </c>
      <c r="F15">
        <v>100</v>
      </c>
      <c r="G15">
        <v>53</v>
      </c>
      <c r="H15">
        <v>20945</v>
      </c>
      <c r="I15">
        <v>4100</v>
      </c>
      <c r="J15">
        <v>8953</v>
      </c>
      <c r="K15" s="12">
        <v>4.8529999999999997E-9</v>
      </c>
      <c r="L15">
        <v>20</v>
      </c>
      <c r="M15">
        <v>2</v>
      </c>
      <c r="N15" t="s">
        <v>120</v>
      </c>
      <c r="O15">
        <v>20</v>
      </c>
      <c r="P15">
        <v>0.2</v>
      </c>
      <c r="Q15">
        <v>52.917826390836602</v>
      </c>
      <c r="R15">
        <v>1722</v>
      </c>
      <c r="S15">
        <v>743</v>
      </c>
      <c r="T15">
        <v>1462</v>
      </c>
      <c r="U15">
        <v>15.175187969924799</v>
      </c>
      <c r="V15">
        <v>819</v>
      </c>
      <c r="W15">
        <v>2491</v>
      </c>
      <c r="X15">
        <v>1672</v>
      </c>
      <c r="Y15">
        <v>0</v>
      </c>
      <c r="Z15">
        <v>0</v>
      </c>
      <c r="AA15">
        <v>1.9547446697857757E-2</v>
      </c>
      <c r="AB15">
        <v>1.2526251898758103E-2</v>
      </c>
    </row>
    <row r="16" spans="1:28" ht="34" x14ac:dyDescent="0.2">
      <c r="A16" s="13">
        <v>15</v>
      </c>
      <c r="B16" t="s">
        <v>176</v>
      </c>
      <c r="C16" s="11" t="s">
        <v>177</v>
      </c>
      <c r="D16">
        <v>5.11E-2</v>
      </c>
      <c r="E16" t="s">
        <v>155</v>
      </c>
      <c r="F16">
        <v>100</v>
      </c>
      <c r="G16">
        <v>53.4</v>
      </c>
      <c r="H16">
        <v>20945</v>
      </c>
      <c r="I16">
        <v>4100</v>
      </c>
      <c r="J16">
        <v>8973</v>
      </c>
      <c r="K16" s="12">
        <v>4.873E-9</v>
      </c>
      <c r="L16">
        <v>20</v>
      </c>
      <c r="M16">
        <v>2</v>
      </c>
      <c r="N16" t="s">
        <v>120</v>
      </c>
      <c r="O16">
        <v>20</v>
      </c>
      <c r="P16">
        <v>0.2</v>
      </c>
      <c r="Q16">
        <v>53.354891034256298</v>
      </c>
      <c r="R16">
        <v>1723</v>
      </c>
      <c r="S16">
        <v>835</v>
      </c>
      <c r="T16">
        <v>1470</v>
      </c>
      <c r="U16">
        <v>16.946616541353301</v>
      </c>
      <c r="V16">
        <v>935</v>
      </c>
      <c r="W16">
        <v>2655</v>
      </c>
      <c r="X16">
        <v>1720</v>
      </c>
      <c r="Y16">
        <v>0</v>
      </c>
      <c r="Z16">
        <v>0</v>
      </c>
      <c r="AA16">
        <v>2.971900557965854E-2</v>
      </c>
      <c r="AB16">
        <v>1.9836652662822092E-2</v>
      </c>
    </row>
    <row r="17" spans="1:28" ht="34" x14ac:dyDescent="0.2">
      <c r="A17" s="13">
        <v>16</v>
      </c>
      <c r="B17" t="s">
        <v>174</v>
      </c>
      <c r="C17" s="11" t="s">
        <v>175</v>
      </c>
      <c r="D17">
        <v>7.0000000000000001E-3</v>
      </c>
      <c r="E17" t="s">
        <v>155</v>
      </c>
      <c r="F17">
        <v>49.5</v>
      </c>
      <c r="G17">
        <v>24.3</v>
      </c>
      <c r="H17">
        <v>20945</v>
      </c>
      <c r="I17">
        <v>3940</v>
      </c>
      <c r="J17">
        <v>7228</v>
      </c>
      <c r="K17" s="12">
        <v>3.2879999999999998E-9</v>
      </c>
      <c r="L17">
        <v>20</v>
      </c>
      <c r="M17">
        <v>2</v>
      </c>
      <c r="N17" t="s">
        <v>120</v>
      </c>
      <c r="O17">
        <v>20</v>
      </c>
      <c r="P17">
        <v>0.2</v>
      </c>
      <c r="Q17">
        <v>24.2909797675843</v>
      </c>
      <c r="R17">
        <v>1775</v>
      </c>
      <c r="S17">
        <v>1382</v>
      </c>
      <c r="T17">
        <v>1719</v>
      </c>
      <c r="U17">
        <v>29.121052631578898</v>
      </c>
      <c r="V17">
        <v>1426</v>
      </c>
      <c r="W17">
        <v>3791</v>
      </c>
      <c r="X17">
        <v>2365</v>
      </c>
      <c r="Y17">
        <v>0</v>
      </c>
      <c r="Z17">
        <v>0</v>
      </c>
      <c r="AA17">
        <v>2.6826670860616603E-2</v>
      </c>
      <c r="AB17">
        <v>1.2135137865042155E-2</v>
      </c>
    </row>
    <row r="18" spans="1:28" ht="34" x14ac:dyDescent="0.2">
      <c r="A18" s="13">
        <v>17</v>
      </c>
      <c r="B18" t="s">
        <v>173</v>
      </c>
      <c r="C18" s="11" t="s">
        <v>157</v>
      </c>
      <c r="D18">
        <v>7.3499999999999998E-3</v>
      </c>
      <c r="E18" t="s">
        <v>155</v>
      </c>
      <c r="F18">
        <v>100</v>
      </c>
      <c r="G18">
        <v>54</v>
      </c>
      <c r="H18">
        <v>20945</v>
      </c>
      <c r="I18">
        <v>4100</v>
      </c>
      <c r="J18">
        <v>8999</v>
      </c>
      <c r="K18" s="12">
        <v>4.8989999999999997E-9</v>
      </c>
      <c r="L18">
        <v>20</v>
      </c>
      <c r="M18">
        <v>2</v>
      </c>
      <c r="N18" t="s">
        <v>120</v>
      </c>
      <c r="O18">
        <v>20</v>
      </c>
      <c r="P18">
        <v>0.2</v>
      </c>
      <c r="Q18">
        <v>53.925762348686298</v>
      </c>
      <c r="R18">
        <v>1778</v>
      </c>
      <c r="S18">
        <v>934</v>
      </c>
      <c r="T18">
        <v>1483</v>
      </c>
      <c r="U18">
        <v>21.603759398496202</v>
      </c>
      <c r="V18">
        <v>1066</v>
      </c>
      <c r="W18">
        <v>3367</v>
      </c>
      <c r="X18">
        <v>2301</v>
      </c>
      <c r="Y18">
        <v>0</v>
      </c>
      <c r="Z18">
        <v>0</v>
      </c>
      <c r="AA18">
        <v>1.4303887770975771E-2</v>
      </c>
      <c r="AB18">
        <v>1.8739913050771885E-3</v>
      </c>
    </row>
    <row r="19" spans="1:28" ht="34" x14ac:dyDescent="0.2">
      <c r="A19" s="13">
        <v>18</v>
      </c>
      <c r="B19" t="s">
        <v>172</v>
      </c>
      <c r="C19" s="11" t="s">
        <v>154</v>
      </c>
      <c r="D19">
        <v>0</v>
      </c>
      <c r="E19" t="s">
        <v>155</v>
      </c>
      <c r="F19">
        <v>0</v>
      </c>
      <c r="G19">
        <v>2.5</v>
      </c>
      <c r="H19">
        <v>20945</v>
      </c>
      <c r="I19">
        <v>4080</v>
      </c>
      <c r="J19">
        <v>5130</v>
      </c>
      <c r="K19" s="12">
        <v>1.0500000000000001E-9</v>
      </c>
      <c r="L19">
        <v>20</v>
      </c>
      <c r="M19">
        <v>2</v>
      </c>
      <c r="N19" t="s">
        <v>120</v>
      </c>
      <c r="O19">
        <v>20</v>
      </c>
      <c r="P19">
        <v>0.2</v>
      </c>
      <c r="Q19">
        <v>2.47719396139335</v>
      </c>
      <c r="R19">
        <v>1718</v>
      </c>
      <c r="S19">
        <v>1514</v>
      </c>
      <c r="T19">
        <v>1514</v>
      </c>
      <c r="U19">
        <v>35.220300751879698</v>
      </c>
      <c r="V19">
        <v>2274</v>
      </c>
      <c r="W19">
        <v>4095</v>
      </c>
      <c r="X19">
        <v>1821</v>
      </c>
      <c r="Y19">
        <v>4.6397482460385003E-3</v>
      </c>
      <c r="Z19">
        <v>0</v>
      </c>
      <c r="AA19">
        <v>2.3765331639146833E-2</v>
      </c>
      <c r="AB19">
        <v>1.2776316367493224E-2</v>
      </c>
    </row>
    <row r="20" spans="1:28" ht="34" x14ac:dyDescent="0.2">
      <c r="A20" s="13">
        <v>19</v>
      </c>
      <c r="B20" t="s">
        <v>200</v>
      </c>
      <c r="C20" s="11" t="s">
        <v>184</v>
      </c>
      <c r="D20">
        <v>0.437</v>
      </c>
      <c r="E20" t="s">
        <v>155</v>
      </c>
      <c r="F20">
        <v>80.3</v>
      </c>
      <c r="G20">
        <v>59.6</v>
      </c>
      <c r="H20">
        <v>28985</v>
      </c>
      <c r="I20">
        <v>4100</v>
      </c>
      <c r="J20">
        <v>6438</v>
      </c>
      <c r="K20" s="12">
        <v>2.338E-9</v>
      </c>
      <c r="L20">
        <v>20</v>
      </c>
      <c r="M20">
        <v>1</v>
      </c>
      <c r="N20" t="s">
        <v>81</v>
      </c>
      <c r="O20">
        <v>7.8</v>
      </c>
      <c r="P20">
        <v>7.8E-2</v>
      </c>
      <c r="Q20">
        <v>80.749755148570898</v>
      </c>
      <c r="R20">
        <v>3643</v>
      </c>
      <c r="S20">
        <v>2295</v>
      </c>
      <c r="T20">
        <v>3539</v>
      </c>
      <c r="U20">
        <v>3.6375939849623999</v>
      </c>
      <c r="V20">
        <v>2298</v>
      </c>
      <c r="W20">
        <v>2527</v>
      </c>
      <c r="X20">
        <v>229</v>
      </c>
      <c r="Y20">
        <v>0.70507945247752302</v>
      </c>
      <c r="Z20">
        <v>0.80115421374128104</v>
      </c>
    </row>
    <row r="21" spans="1:28" ht="34" x14ac:dyDescent="0.2">
      <c r="A21" s="13">
        <v>20</v>
      </c>
      <c r="B21" t="s">
        <v>199</v>
      </c>
      <c r="C21" s="11" t="s">
        <v>182</v>
      </c>
      <c r="D21">
        <v>0.42399999999999999</v>
      </c>
      <c r="E21" t="s">
        <v>155</v>
      </c>
      <c r="F21">
        <v>82</v>
      </c>
      <c r="G21">
        <v>61.8</v>
      </c>
      <c r="H21">
        <v>28985</v>
      </c>
      <c r="I21">
        <v>4142</v>
      </c>
      <c r="J21">
        <v>6476</v>
      </c>
      <c r="K21" s="12">
        <v>2.334E-9</v>
      </c>
      <c r="L21">
        <v>20</v>
      </c>
      <c r="M21">
        <v>1</v>
      </c>
      <c r="N21" t="s">
        <v>81</v>
      </c>
      <c r="O21">
        <v>7.8</v>
      </c>
      <c r="P21">
        <v>7.8E-2</v>
      </c>
      <c r="Q21">
        <v>80.473687811617694</v>
      </c>
      <c r="R21">
        <v>3638</v>
      </c>
      <c r="S21">
        <v>2291</v>
      </c>
      <c r="T21">
        <v>3507</v>
      </c>
      <c r="U21">
        <v>3.7646616541353302</v>
      </c>
      <c r="V21">
        <v>2294</v>
      </c>
      <c r="W21">
        <v>2535</v>
      </c>
      <c r="X21">
        <v>241</v>
      </c>
      <c r="Y21">
        <v>0.687752010725736</v>
      </c>
      <c r="Z21">
        <v>0.78371423673354601</v>
      </c>
    </row>
    <row r="22" spans="1:28" ht="34" x14ac:dyDescent="0.2">
      <c r="A22" s="13">
        <v>21</v>
      </c>
      <c r="B22" t="s">
        <v>198</v>
      </c>
      <c r="C22" s="11" t="s">
        <v>167</v>
      </c>
      <c r="D22">
        <v>0.41399999999999998</v>
      </c>
      <c r="E22" t="s">
        <v>155</v>
      </c>
      <c r="F22">
        <v>79.7</v>
      </c>
      <c r="G22">
        <v>58.8</v>
      </c>
      <c r="H22">
        <v>28985</v>
      </c>
      <c r="I22">
        <v>4105</v>
      </c>
      <c r="J22">
        <v>6445</v>
      </c>
      <c r="K22" s="12">
        <v>2.3399999999999899E-9</v>
      </c>
      <c r="L22">
        <v>20</v>
      </c>
      <c r="M22">
        <v>1</v>
      </c>
      <c r="N22" t="s">
        <v>81</v>
      </c>
      <c r="O22">
        <v>7.8</v>
      </c>
      <c r="P22">
        <v>7.8E-2</v>
      </c>
      <c r="Q22">
        <v>80.887966086313497</v>
      </c>
      <c r="R22">
        <v>3630</v>
      </c>
      <c r="S22">
        <v>2290</v>
      </c>
      <c r="T22">
        <v>3515</v>
      </c>
      <c r="U22">
        <v>4.2609022556390901</v>
      </c>
      <c r="V22">
        <v>2294</v>
      </c>
      <c r="W22">
        <v>2547</v>
      </c>
      <c r="X22">
        <v>253</v>
      </c>
      <c r="Y22">
        <v>0.67465017409750205</v>
      </c>
      <c r="Z22">
        <v>0.770548397708953</v>
      </c>
    </row>
    <row r="23" spans="1:28" ht="34" x14ac:dyDescent="0.2">
      <c r="A23" s="13">
        <v>22</v>
      </c>
      <c r="B23" t="s">
        <v>197</v>
      </c>
      <c r="C23" s="11" t="s">
        <v>165</v>
      </c>
      <c r="D23">
        <v>0.1552</v>
      </c>
      <c r="E23" t="s">
        <v>155</v>
      </c>
      <c r="F23">
        <v>78.599999999999994</v>
      </c>
      <c r="G23">
        <v>57.5</v>
      </c>
      <c r="H23">
        <v>28985</v>
      </c>
      <c r="I23">
        <v>4083</v>
      </c>
      <c r="J23">
        <v>6422</v>
      </c>
      <c r="K23" s="12">
        <v>2.3389999999999999E-9</v>
      </c>
      <c r="L23">
        <v>20</v>
      </c>
      <c r="M23">
        <v>1</v>
      </c>
      <c r="N23" t="s">
        <v>81</v>
      </c>
      <c r="O23">
        <v>7.8</v>
      </c>
      <c r="P23">
        <v>7.8E-2</v>
      </c>
      <c r="Q23">
        <v>80.818845845003395</v>
      </c>
      <c r="R23">
        <v>3214</v>
      </c>
      <c r="S23">
        <v>2082</v>
      </c>
      <c r="T23">
        <v>3119</v>
      </c>
      <c r="U23">
        <v>13.9473684210526</v>
      </c>
      <c r="V23">
        <v>2087</v>
      </c>
      <c r="W23">
        <v>3003</v>
      </c>
      <c r="X23">
        <v>916</v>
      </c>
      <c r="Y23">
        <v>0.25188179735218402</v>
      </c>
      <c r="Z23">
        <v>0.34382574399347898</v>
      </c>
    </row>
    <row r="24" spans="1:28" ht="34" x14ac:dyDescent="0.2">
      <c r="A24" s="13">
        <v>23</v>
      </c>
      <c r="B24" t="s">
        <v>195</v>
      </c>
      <c r="C24" s="11" t="s">
        <v>177</v>
      </c>
      <c r="D24">
        <v>5.11E-2</v>
      </c>
      <c r="E24" t="s">
        <v>155</v>
      </c>
      <c r="F24">
        <v>78.400000000000006</v>
      </c>
      <c r="G24">
        <v>57.3</v>
      </c>
      <c r="H24">
        <v>28985</v>
      </c>
      <c r="I24">
        <v>4092</v>
      </c>
      <c r="J24">
        <v>6419</v>
      </c>
      <c r="K24" s="12">
        <v>2.3269999999999999E-9</v>
      </c>
      <c r="L24">
        <v>20</v>
      </c>
      <c r="M24">
        <v>1</v>
      </c>
      <c r="N24" t="s">
        <v>81</v>
      </c>
      <c r="O24">
        <v>7.8</v>
      </c>
      <c r="P24">
        <v>7.8E-2</v>
      </c>
      <c r="Q24">
        <v>79.991707449739906</v>
      </c>
      <c r="R24">
        <v>2574</v>
      </c>
      <c r="S24">
        <v>1558</v>
      </c>
      <c r="T24">
        <v>2482</v>
      </c>
      <c r="U24">
        <v>21.9924812030075</v>
      </c>
      <c r="V24">
        <v>1567</v>
      </c>
      <c r="W24">
        <v>3539</v>
      </c>
      <c r="X24">
        <v>1972</v>
      </c>
      <c r="Y24">
        <v>0</v>
      </c>
      <c r="Z24">
        <v>3.0521034728854202E-2</v>
      </c>
    </row>
    <row r="25" spans="1:28" ht="34" x14ac:dyDescent="0.2">
      <c r="A25" s="13">
        <v>24</v>
      </c>
      <c r="B25" t="s">
        <v>196</v>
      </c>
      <c r="C25" s="11" t="s">
        <v>163</v>
      </c>
      <c r="D25">
        <v>7.9600000000000004E-2</v>
      </c>
      <c r="E25" t="s">
        <v>155</v>
      </c>
      <c r="F25">
        <v>79.400000000000006</v>
      </c>
      <c r="G25">
        <v>58.5</v>
      </c>
      <c r="H25">
        <v>28985</v>
      </c>
      <c r="I25">
        <v>4090</v>
      </c>
      <c r="J25">
        <v>6420</v>
      </c>
      <c r="K25" s="12">
        <v>2.33E-9</v>
      </c>
      <c r="L25">
        <v>20</v>
      </c>
      <c r="M25">
        <v>1</v>
      </c>
      <c r="N25" t="s">
        <v>81</v>
      </c>
      <c r="O25">
        <v>7.8</v>
      </c>
      <c r="P25">
        <v>7.8E-2</v>
      </c>
      <c r="Q25">
        <v>80.198093192707205</v>
      </c>
      <c r="R25">
        <v>2822</v>
      </c>
      <c r="S25">
        <v>1782</v>
      </c>
      <c r="T25">
        <v>2739</v>
      </c>
      <c r="U25">
        <v>19.369172932330802</v>
      </c>
      <c r="V25">
        <v>1786</v>
      </c>
      <c r="W25">
        <v>3354</v>
      </c>
      <c r="X25">
        <v>1568</v>
      </c>
      <c r="Y25">
        <v>3.9665474437355998E-2</v>
      </c>
      <c r="Z25">
        <v>0.134946990119096</v>
      </c>
    </row>
    <row r="26" spans="1:28" ht="34" x14ac:dyDescent="0.2">
      <c r="A26" s="13">
        <v>25</v>
      </c>
      <c r="B26" t="s">
        <v>193</v>
      </c>
      <c r="C26" s="11" t="s">
        <v>157</v>
      </c>
      <c r="D26">
        <v>7.3499999999999998E-3</v>
      </c>
      <c r="E26" t="s">
        <v>155</v>
      </c>
      <c r="F26">
        <v>93.2</v>
      </c>
      <c r="G26">
        <v>74.5</v>
      </c>
      <c r="H26">
        <v>28985</v>
      </c>
      <c r="I26">
        <v>4120</v>
      </c>
      <c r="J26">
        <v>6422</v>
      </c>
      <c r="K26" s="12">
        <v>2.3020000000000001E-9</v>
      </c>
      <c r="L26">
        <v>20</v>
      </c>
      <c r="M26">
        <v>1</v>
      </c>
      <c r="N26" t="s">
        <v>81</v>
      </c>
      <c r="O26">
        <v>7.8</v>
      </c>
      <c r="P26">
        <v>7.8E-2</v>
      </c>
      <c r="Q26">
        <v>78.282166965530195</v>
      </c>
      <c r="R26">
        <v>1898</v>
      </c>
      <c r="S26">
        <v>935</v>
      </c>
      <c r="T26">
        <v>1770</v>
      </c>
      <c r="U26">
        <v>25.890977443609</v>
      </c>
      <c r="V26">
        <v>959</v>
      </c>
      <c r="W26">
        <v>3895</v>
      </c>
      <c r="X26">
        <v>2936</v>
      </c>
      <c r="Y26">
        <v>0</v>
      </c>
      <c r="Z26">
        <v>0</v>
      </c>
    </row>
    <row r="27" spans="1:28" ht="34" x14ac:dyDescent="0.2">
      <c r="A27" s="13">
        <v>26</v>
      </c>
      <c r="B27" t="s">
        <v>194</v>
      </c>
      <c r="C27" s="11" t="s">
        <v>159</v>
      </c>
      <c r="D27">
        <v>7.0000000000000001E-3</v>
      </c>
      <c r="E27" t="s">
        <v>155</v>
      </c>
      <c r="F27">
        <v>39</v>
      </c>
      <c r="G27">
        <v>25.2</v>
      </c>
      <c r="H27">
        <v>28985</v>
      </c>
      <c r="I27">
        <v>4100</v>
      </c>
      <c r="J27">
        <v>5438</v>
      </c>
      <c r="K27" s="12">
        <v>1.33799999999999E-9</v>
      </c>
      <c r="L27">
        <v>20</v>
      </c>
      <c r="M27">
        <v>1</v>
      </c>
      <c r="N27" t="s">
        <v>81</v>
      </c>
      <c r="O27">
        <v>7.8</v>
      </c>
      <c r="P27">
        <v>7.8E-2</v>
      </c>
      <c r="Q27">
        <v>26.446269990179299</v>
      </c>
      <c r="R27">
        <v>1838</v>
      </c>
      <c r="S27">
        <v>1403</v>
      </c>
      <c r="T27">
        <v>1730</v>
      </c>
      <c r="U27">
        <v>30.582706766917301</v>
      </c>
      <c r="V27">
        <v>1403</v>
      </c>
      <c r="W27">
        <v>3999</v>
      </c>
      <c r="X27">
        <v>2596</v>
      </c>
      <c r="Y27">
        <v>0</v>
      </c>
      <c r="Z27">
        <v>0</v>
      </c>
    </row>
    <row r="28" spans="1:28" ht="34" x14ac:dyDescent="0.2">
      <c r="A28" s="13">
        <v>27</v>
      </c>
      <c r="B28" t="s">
        <v>191</v>
      </c>
      <c r="C28" s="11" t="s">
        <v>192</v>
      </c>
      <c r="D28">
        <v>0</v>
      </c>
      <c r="E28" t="s">
        <v>155</v>
      </c>
      <c r="F28">
        <v>0.2</v>
      </c>
      <c r="G28">
        <v>1.1000000000000001</v>
      </c>
      <c r="H28">
        <v>28985</v>
      </c>
      <c r="I28">
        <v>4080</v>
      </c>
      <c r="J28">
        <v>4360</v>
      </c>
      <c r="K28" s="12">
        <v>2.7999999999999898E-10</v>
      </c>
      <c r="L28">
        <v>20</v>
      </c>
      <c r="M28">
        <v>1</v>
      </c>
      <c r="N28" t="s">
        <v>81</v>
      </c>
      <c r="O28">
        <v>7.8</v>
      </c>
      <c r="P28">
        <v>7.8E-2</v>
      </c>
      <c r="Q28">
        <v>1.15815920468386</v>
      </c>
      <c r="R28">
        <v>1722</v>
      </c>
      <c r="S28">
        <v>1610</v>
      </c>
      <c r="T28">
        <v>1618</v>
      </c>
      <c r="U28">
        <v>39.7097744360902</v>
      </c>
      <c r="V28">
        <v>1831</v>
      </c>
      <c r="W28">
        <v>4051</v>
      </c>
      <c r="X28">
        <v>2220</v>
      </c>
      <c r="Y28">
        <v>0</v>
      </c>
      <c r="Z28">
        <v>0</v>
      </c>
    </row>
    <row r="29" spans="1:28" ht="34" x14ac:dyDescent="0.2">
      <c r="A29" s="13">
        <v>28</v>
      </c>
      <c r="B29" t="s">
        <v>170</v>
      </c>
      <c r="C29" s="11" t="s">
        <v>171</v>
      </c>
      <c r="D29">
        <v>0.437</v>
      </c>
      <c r="E29" t="s">
        <v>155</v>
      </c>
      <c r="F29">
        <v>100</v>
      </c>
      <c r="G29">
        <v>45.4</v>
      </c>
      <c r="H29">
        <v>29225</v>
      </c>
      <c r="I29">
        <v>4140</v>
      </c>
      <c r="J29">
        <v>5936</v>
      </c>
      <c r="K29" s="12">
        <v>1.796E-9</v>
      </c>
      <c r="L29">
        <v>20</v>
      </c>
      <c r="M29">
        <v>2</v>
      </c>
      <c r="N29" t="s">
        <v>120</v>
      </c>
      <c r="O29">
        <v>8</v>
      </c>
      <c r="P29">
        <v>0.08</v>
      </c>
      <c r="Q29">
        <v>45.297485697130199</v>
      </c>
      <c r="R29">
        <v>1703</v>
      </c>
      <c r="S29">
        <v>603</v>
      </c>
      <c r="T29">
        <v>1527</v>
      </c>
      <c r="U29">
        <v>10.1458646616541</v>
      </c>
      <c r="V29">
        <v>615</v>
      </c>
      <c r="W29">
        <v>3283</v>
      </c>
      <c r="X29">
        <v>2668</v>
      </c>
      <c r="Y29">
        <v>0</v>
      </c>
      <c r="Z29">
        <v>0</v>
      </c>
    </row>
    <row r="30" spans="1:28" ht="34" x14ac:dyDescent="0.2">
      <c r="A30" s="13">
        <v>29</v>
      </c>
      <c r="B30" t="s">
        <v>168</v>
      </c>
      <c r="C30" s="11" t="s">
        <v>169</v>
      </c>
      <c r="D30">
        <v>0.42399999999999999</v>
      </c>
      <c r="E30" t="s">
        <v>155</v>
      </c>
      <c r="F30">
        <v>100</v>
      </c>
      <c r="G30">
        <v>45.5</v>
      </c>
      <c r="H30">
        <v>29225</v>
      </c>
      <c r="I30">
        <v>4120</v>
      </c>
      <c r="J30">
        <v>5918</v>
      </c>
      <c r="K30" s="12">
        <v>1.7979999999999901E-9</v>
      </c>
      <c r="L30">
        <v>20</v>
      </c>
      <c r="M30">
        <v>2</v>
      </c>
      <c r="N30" t="s">
        <v>120</v>
      </c>
      <c r="O30">
        <v>8</v>
      </c>
      <c r="P30">
        <v>0.08</v>
      </c>
      <c r="Q30">
        <v>45.398427138142097</v>
      </c>
      <c r="R30">
        <v>1703</v>
      </c>
      <c r="S30">
        <v>607</v>
      </c>
      <c r="T30">
        <v>1531</v>
      </c>
      <c r="U30">
        <v>10.480451127819499</v>
      </c>
      <c r="V30">
        <v>619</v>
      </c>
      <c r="W30">
        <v>3282</v>
      </c>
      <c r="X30">
        <v>2663</v>
      </c>
      <c r="Y30">
        <v>0</v>
      </c>
      <c r="Z30">
        <v>0</v>
      </c>
    </row>
    <row r="31" spans="1:28" ht="34" x14ac:dyDescent="0.2">
      <c r="A31" s="13">
        <v>30</v>
      </c>
      <c r="B31" t="s">
        <v>166</v>
      </c>
      <c r="C31" s="11" t="s">
        <v>167</v>
      </c>
      <c r="D31">
        <v>0.41399999999999998</v>
      </c>
      <c r="E31" t="s">
        <v>155</v>
      </c>
      <c r="F31">
        <v>100</v>
      </c>
      <c r="G31">
        <v>45.9</v>
      </c>
      <c r="H31">
        <v>29225</v>
      </c>
      <c r="I31">
        <v>4120</v>
      </c>
      <c r="J31">
        <v>5927</v>
      </c>
      <c r="K31" s="12">
        <v>1.8070000000000001E-9</v>
      </c>
      <c r="L31">
        <v>20</v>
      </c>
      <c r="M31">
        <v>2</v>
      </c>
      <c r="N31" t="s">
        <v>120</v>
      </c>
      <c r="O31">
        <v>8</v>
      </c>
      <c r="P31">
        <v>0.08</v>
      </c>
      <c r="Q31">
        <v>45.854053884612703</v>
      </c>
      <c r="R31">
        <v>1703</v>
      </c>
      <c r="S31">
        <v>610</v>
      </c>
      <c r="T31">
        <v>1539</v>
      </c>
      <c r="U31">
        <v>10.5736842105263</v>
      </c>
      <c r="V31">
        <v>622</v>
      </c>
      <c r="W31">
        <v>3282</v>
      </c>
      <c r="X31">
        <v>2660</v>
      </c>
      <c r="Y31">
        <v>0</v>
      </c>
      <c r="Z31">
        <v>0</v>
      </c>
    </row>
    <row r="32" spans="1:28" ht="34" x14ac:dyDescent="0.2">
      <c r="A32" s="13">
        <v>31</v>
      </c>
      <c r="B32" t="s">
        <v>164</v>
      </c>
      <c r="C32" s="11" t="s">
        <v>165</v>
      </c>
      <c r="D32">
        <v>0.1552</v>
      </c>
      <c r="E32" t="s">
        <v>155</v>
      </c>
      <c r="F32">
        <v>100</v>
      </c>
      <c r="G32">
        <v>45.8</v>
      </c>
      <c r="H32">
        <v>29225</v>
      </c>
      <c r="I32">
        <v>4120</v>
      </c>
      <c r="J32">
        <v>5925</v>
      </c>
      <c r="K32" s="12">
        <v>1.8050000000000001E-9</v>
      </c>
      <c r="L32">
        <v>20</v>
      </c>
      <c r="M32">
        <v>2</v>
      </c>
      <c r="N32" t="s">
        <v>120</v>
      </c>
      <c r="O32">
        <v>8</v>
      </c>
      <c r="P32">
        <v>0.08</v>
      </c>
      <c r="Q32">
        <v>45.752606893812803</v>
      </c>
      <c r="R32">
        <v>1699</v>
      </c>
      <c r="S32">
        <v>702</v>
      </c>
      <c r="T32">
        <v>1534</v>
      </c>
      <c r="U32">
        <v>16.033834586466099</v>
      </c>
      <c r="V32">
        <v>706</v>
      </c>
      <c r="W32">
        <v>3210</v>
      </c>
      <c r="X32">
        <v>2504</v>
      </c>
      <c r="Y32">
        <v>0</v>
      </c>
      <c r="Z32">
        <v>0</v>
      </c>
    </row>
    <row r="33" spans="1:26" ht="34" x14ac:dyDescent="0.2">
      <c r="A33" s="13">
        <v>32</v>
      </c>
      <c r="B33" t="s">
        <v>162</v>
      </c>
      <c r="C33" s="11" t="s">
        <v>163</v>
      </c>
      <c r="D33">
        <v>7.9600000000000004E-2</v>
      </c>
      <c r="E33" t="s">
        <v>155</v>
      </c>
      <c r="F33">
        <v>100</v>
      </c>
      <c r="G33">
        <v>44.6</v>
      </c>
      <c r="H33">
        <v>29225</v>
      </c>
      <c r="I33">
        <v>4140</v>
      </c>
      <c r="J33">
        <v>5920</v>
      </c>
      <c r="K33" s="12">
        <v>1.7800000000000001E-9</v>
      </c>
      <c r="L33">
        <v>20</v>
      </c>
      <c r="M33">
        <v>2</v>
      </c>
      <c r="N33" t="s">
        <v>120</v>
      </c>
      <c r="O33">
        <v>8</v>
      </c>
      <c r="P33">
        <v>0.08</v>
      </c>
      <c r="Q33">
        <v>44.493998567339503</v>
      </c>
      <c r="R33">
        <v>1699</v>
      </c>
      <c r="S33">
        <v>734</v>
      </c>
      <c r="T33">
        <v>1519</v>
      </c>
      <c r="U33">
        <v>19.3451127819548</v>
      </c>
      <c r="V33">
        <v>758</v>
      </c>
      <c r="W33">
        <v>3283</v>
      </c>
      <c r="X33">
        <v>2525</v>
      </c>
      <c r="Y33">
        <v>0</v>
      </c>
      <c r="Z33">
        <v>0</v>
      </c>
    </row>
    <row r="34" spans="1:26" ht="34" x14ac:dyDescent="0.2">
      <c r="A34" s="13">
        <v>33</v>
      </c>
      <c r="B34" t="s">
        <v>160</v>
      </c>
      <c r="C34" s="11" t="s">
        <v>161</v>
      </c>
      <c r="D34">
        <v>5.11E-2</v>
      </c>
      <c r="E34" t="s">
        <v>155</v>
      </c>
      <c r="F34">
        <v>100</v>
      </c>
      <c r="G34">
        <v>47</v>
      </c>
      <c r="H34">
        <v>29225</v>
      </c>
      <c r="I34">
        <v>4120</v>
      </c>
      <c r="J34">
        <v>5948</v>
      </c>
      <c r="K34" s="12">
        <v>1.82799999999999E-9</v>
      </c>
      <c r="L34">
        <v>20</v>
      </c>
      <c r="M34">
        <v>2</v>
      </c>
      <c r="N34" t="s">
        <v>120</v>
      </c>
      <c r="O34">
        <v>8</v>
      </c>
      <c r="P34">
        <v>0.08</v>
      </c>
      <c r="Q34">
        <v>46.926030081001301</v>
      </c>
      <c r="R34">
        <v>1706</v>
      </c>
      <c r="S34">
        <v>750</v>
      </c>
      <c r="T34">
        <v>1535</v>
      </c>
      <c r="U34">
        <v>20.335338345864599</v>
      </c>
      <c r="V34">
        <v>771</v>
      </c>
      <c r="W34">
        <v>3387</v>
      </c>
      <c r="X34">
        <v>2616</v>
      </c>
      <c r="Y34">
        <v>0</v>
      </c>
      <c r="Z34">
        <v>0</v>
      </c>
    </row>
    <row r="35" spans="1:26" ht="34" x14ac:dyDescent="0.2">
      <c r="A35" s="13">
        <v>34</v>
      </c>
      <c r="B35" t="s">
        <v>158</v>
      </c>
      <c r="C35" s="11" t="s">
        <v>159</v>
      </c>
      <c r="D35">
        <v>7.0000000000000001E-3</v>
      </c>
      <c r="E35" t="s">
        <v>155</v>
      </c>
      <c r="F35">
        <v>40.9</v>
      </c>
      <c r="G35">
        <v>20</v>
      </c>
      <c r="H35">
        <v>29225</v>
      </c>
      <c r="I35">
        <v>4120</v>
      </c>
      <c r="J35">
        <v>5313</v>
      </c>
      <c r="K35" s="12">
        <v>1.1929999999999999E-9</v>
      </c>
      <c r="L35">
        <v>20</v>
      </c>
      <c r="M35">
        <v>2</v>
      </c>
      <c r="N35" t="s">
        <v>120</v>
      </c>
      <c r="O35">
        <v>8</v>
      </c>
      <c r="P35">
        <v>0.08</v>
      </c>
      <c r="Q35">
        <v>19.986756396593702</v>
      </c>
      <c r="R35">
        <v>1718</v>
      </c>
      <c r="S35">
        <v>1142</v>
      </c>
      <c r="T35">
        <v>1542</v>
      </c>
      <c r="U35">
        <v>28.878195488721801</v>
      </c>
      <c r="V35">
        <v>1142</v>
      </c>
      <c r="W35">
        <v>3862</v>
      </c>
      <c r="X35">
        <v>2720</v>
      </c>
      <c r="Y35">
        <v>0</v>
      </c>
      <c r="Z35">
        <v>0</v>
      </c>
    </row>
    <row r="36" spans="1:26" ht="34" x14ac:dyDescent="0.2">
      <c r="A36" s="13">
        <v>35</v>
      </c>
      <c r="B36" t="s">
        <v>156</v>
      </c>
      <c r="C36" s="11" t="s">
        <v>157</v>
      </c>
      <c r="D36">
        <v>7.3499999999999998E-3</v>
      </c>
      <c r="E36" t="s">
        <v>155</v>
      </c>
      <c r="F36">
        <v>100</v>
      </c>
      <c r="G36">
        <v>46.2</v>
      </c>
      <c r="H36">
        <v>29225</v>
      </c>
      <c r="I36">
        <v>4120</v>
      </c>
      <c r="J36">
        <v>5932</v>
      </c>
      <c r="K36" s="12">
        <v>1.8119999999999999E-9</v>
      </c>
      <c r="L36">
        <v>20</v>
      </c>
      <c r="M36">
        <v>2</v>
      </c>
      <c r="N36" t="s">
        <v>120</v>
      </c>
      <c r="O36">
        <v>8</v>
      </c>
      <c r="P36">
        <v>0.08</v>
      </c>
      <c r="Q36">
        <v>46.108162868350803</v>
      </c>
      <c r="R36">
        <v>1694</v>
      </c>
      <c r="S36">
        <v>770</v>
      </c>
      <c r="T36">
        <v>1534</v>
      </c>
      <c r="U36">
        <v>22.771428571428501</v>
      </c>
      <c r="V36">
        <v>803</v>
      </c>
      <c r="W36">
        <v>3811</v>
      </c>
      <c r="X36">
        <v>3008</v>
      </c>
      <c r="Y36">
        <v>0</v>
      </c>
      <c r="Z36">
        <v>0</v>
      </c>
    </row>
    <row r="37" spans="1:26" ht="34" x14ac:dyDescent="0.2">
      <c r="A37" s="13">
        <v>36</v>
      </c>
      <c r="B37" t="s">
        <v>153</v>
      </c>
      <c r="C37" s="11" t="s">
        <v>154</v>
      </c>
      <c r="D37">
        <v>0</v>
      </c>
      <c r="E37" t="s">
        <v>155</v>
      </c>
      <c r="F37">
        <v>0</v>
      </c>
      <c r="G37">
        <v>1.9</v>
      </c>
      <c r="H37">
        <v>29225</v>
      </c>
      <c r="I37">
        <v>4100</v>
      </c>
      <c r="J37">
        <v>4467</v>
      </c>
      <c r="K37" s="12">
        <v>3.6700000000000003E-10</v>
      </c>
      <c r="L37">
        <v>20</v>
      </c>
      <c r="M37">
        <v>2</v>
      </c>
      <c r="N37" t="s">
        <v>120</v>
      </c>
      <c r="O37">
        <v>8</v>
      </c>
      <c r="P37">
        <v>0.08</v>
      </c>
      <c r="Q37">
        <v>1.8914443167013</v>
      </c>
      <c r="R37">
        <v>1702</v>
      </c>
      <c r="S37">
        <v>1579</v>
      </c>
      <c r="T37">
        <v>1579</v>
      </c>
      <c r="U37">
        <v>39.924060150375901</v>
      </c>
      <c r="V37">
        <v>1775</v>
      </c>
      <c r="W37">
        <v>4031</v>
      </c>
      <c r="X37">
        <v>2256</v>
      </c>
      <c r="Y37">
        <v>0</v>
      </c>
      <c r="Z37">
        <v>0</v>
      </c>
    </row>
    <row r="38" spans="1:26" ht="34" x14ac:dyDescent="0.2">
      <c r="A38" s="13">
        <v>37</v>
      </c>
      <c r="B38" t="s">
        <v>213</v>
      </c>
      <c r="C38" s="11" t="s">
        <v>184</v>
      </c>
      <c r="D38">
        <v>0.437</v>
      </c>
      <c r="E38" t="s">
        <v>202</v>
      </c>
      <c r="F38">
        <v>99.9</v>
      </c>
      <c r="G38">
        <v>42.6</v>
      </c>
      <c r="H38">
        <v>27780</v>
      </c>
      <c r="I38">
        <v>4160</v>
      </c>
      <c r="J38">
        <v>12859</v>
      </c>
      <c r="K38" s="12">
        <v>8.6990000000000007E-9</v>
      </c>
      <c r="L38">
        <v>20</v>
      </c>
      <c r="M38">
        <v>6</v>
      </c>
      <c r="N38" t="s">
        <v>203</v>
      </c>
      <c r="O38">
        <v>40</v>
      </c>
      <c r="P38">
        <v>0.4</v>
      </c>
      <c r="Q38">
        <v>42.506963773271799</v>
      </c>
      <c r="R38">
        <v>3131</v>
      </c>
      <c r="S38">
        <v>2814</v>
      </c>
      <c r="T38">
        <v>3122</v>
      </c>
      <c r="U38">
        <v>1.6030075187969901</v>
      </c>
      <c r="V38">
        <v>2815</v>
      </c>
      <c r="W38">
        <v>3187</v>
      </c>
      <c r="X38">
        <v>372</v>
      </c>
      <c r="Y38">
        <v>8.7545097647165795E-2</v>
      </c>
      <c r="Z38">
        <v>9.1704364451449902E-2</v>
      </c>
    </row>
    <row r="39" spans="1:26" ht="34" x14ac:dyDescent="0.2">
      <c r="A39" s="13">
        <v>38</v>
      </c>
      <c r="B39" t="s">
        <v>211</v>
      </c>
      <c r="C39" s="11" t="s">
        <v>167</v>
      </c>
      <c r="D39">
        <v>0.41399999999999998</v>
      </c>
      <c r="E39" t="s">
        <v>202</v>
      </c>
      <c r="F39">
        <v>99.9</v>
      </c>
      <c r="G39">
        <v>42.5</v>
      </c>
      <c r="H39">
        <v>27780</v>
      </c>
      <c r="I39">
        <v>4160</v>
      </c>
      <c r="J39">
        <v>12852</v>
      </c>
      <c r="K39" s="12">
        <v>8.6919999999999993E-9</v>
      </c>
      <c r="L39">
        <v>20</v>
      </c>
      <c r="M39">
        <v>6</v>
      </c>
      <c r="N39" t="s">
        <v>203</v>
      </c>
      <c r="O39">
        <v>40</v>
      </c>
      <c r="P39">
        <v>0.4</v>
      </c>
      <c r="Q39">
        <v>42.438581423775602</v>
      </c>
      <c r="R39">
        <v>3102</v>
      </c>
      <c r="S39">
        <v>2790</v>
      </c>
      <c r="T39">
        <v>3095</v>
      </c>
      <c r="U39">
        <v>1.9578947368421</v>
      </c>
      <c r="V39">
        <v>2791</v>
      </c>
      <c r="W39">
        <v>3207</v>
      </c>
      <c r="X39">
        <v>416</v>
      </c>
      <c r="Y39">
        <v>8.2272666666908495E-2</v>
      </c>
      <c r="Z39">
        <v>8.6402340138702793E-2</v>
      </c>
    </row>
    <row r="40" spans="1:26" ht="34" x14ac:dyDescent="0.2">
      <c r="A40" s="13">
        <v>39</v>
      </c>
      <c r="B40" t="s">
        <v>212</v>
      </c>
      <c r="C40" s="11" t="s">
        <v>182</v>
      </c>
      <c r="D40">
        <v>0.42399999999999999</v>
      </c>
      <c r="E40" t="s">
        <v>202</v>
      </c>
      <c r="F40">
        <v>99.9</v>
      </c>
      <c r="G40">
        <v>43.4</v>
      </c>
      <c r="H40">
        <v>27780</v>
      </c>
      <c r="I40">
        <v>4160</v>
      </c>
      <c r="J40">
        <v>12948</v>
      </c>
      <c r="K40" s="12">
        <v>8.7879999999999907E-9</v>
      </c>
      <c r="L40">
        <v>20</v>
      </c>
      <c r="M40">
        <v>6</v>
      </c>
      <c r="N40" t="s">
        <v>203</v>
      </c>
      <c r="O40">
        <v>40</v>
      </c>
      <c r="P40">
        <v>0.4</v>
      </c>
      <c r="Q40">
        <v>43.381195855234701</v>
      </c>
      <c r="R40">
        <v>3115</v>
      </c>
      <c r="S40">
        <v>2798</v>
      </c>
      <c r="T40">
        <v>3103</v>
      </c>
      <c r="U40">
        <v>1.7864661654135301</v>
      </c>
      <c r="V40">
        <v>2802</v>
      </c>
      <c r="W40">
        <v>3183</v>
      </c>
      <c r="X40">
        <v>381</v>
      </c>
      <c r="Y40">
        <v>8.7193830952559795E-2</v>
      </c>
      <c r="Z40">
        <v>9.1377996877384002E-2</v>
      </c>
    </row>
    <row r="41" spans="1:26" ht="34" x14ac:dyDescent="0.2">
      <c r="A41" s="13">
        <v>40</v>
      </c>
      <c r="B41" t="s">
        <v>209</v>
      </c>
      <c r="C41" s="11" t="s">
        <v>210</v>
      </c>
      <c r="D41">
        <v>0.1552</v>
      </c>
      <c r="E41" t="s">
        <v>202</v>
      </c>
      <c r="F41">
        <v>97.3</v>
      </c>
      <c r="G41">
        <v>39.5</v>
      </c>
      <c r="H41">
        <v>27780</v>
      </c>
      <c r="I41">
        <v>4160</v>
      </c>
      <c r="J41">
        <v>12545</v>
      </c>
      <c r="K41" s="12">
        <v>8.3849999999999904E-9</v>
      </c>
      <c r="L41">
        <v>20</v>
      </c>
      <c r="M41">
        <v>6</v>
      </c>
      <c r="N41" t="s">
        <v>203</v>
      </c>
      <c r="O41">
        <v>40</v>
      </c>
      <c r="P41">
        <v>0.4</v>
      </c>
      <c r="Q41">
        <v>39.493675829089597</v>
      </c>
      <c r="R41">
        <v>2590</v>
      </c>
      <c r="S41">
        <v>2311</v>
      </c>
      <c r="T41">
        <v>2575</v>
      </c>
      <c r="U41">
        <v>6.8766917293232996</v>
      </c>
      <c r="V41">
        <v>2342</v>
      </c>
      <c r="W41">
        <v>3471</v>
      </c>
      <c r="X41">
        <v>1129</v>
      </c>
      <c r="Y41">
        <v>3.04243394264893E-2</v>
      </c>
      <c r="Z41">
        <v>3.4237079498872197E-2</v>
      </c>
    </row>
    <row r="42" spans="1:26" ht="34" x14ac:dyDescent="0.2">
      <c r="A42" s="13">
        <v>41</v>
      </c>
      <c r="B42" t="s">
        <v>207</v>
      </c>
      <c r="C42" s="11" t="s">
        <v>208</v>
      </c>
      <c r="D42">
        <v>7.9600000000000004E-2</v>
      </c>
      <c r="E42" t="s">
        <v>202</v>
      </c>
      <c r="F42">
        <v>96.7</v>
      </c>
      <c r="G42">
        <v>39.4</v>
      </c>
      <c r="H42">
        <v>27780</v>
      </c>
      <c r="I42">
        <v>4180</v>
      </c>
      <c r="J42">
        <v>12545</v>
      </c>
      <c r="K42" s="12">
        <v>8.3649999999999892E-9</v>
      </c>
      <c r="L42">
        <v>20</v>
      </c>
      <c r="M42">
        <v>6</v>
      </c>
      <c r="N42" t="s">
        <v>203</v>
      </c>
      <c r="O42">
        <v>40</v>
      </c>
      <c r="P42">
        <v>0.4</v>
      </c>
      <c r="Q42">
        <v>39.305498963541503</v>
      </c>
      <c r="R42">
        <v>2267</v>
      </c>
      <c r="S42">
        <v>2034</v>
      </c>
      <c r="T42">
        <v>2263</v>
      </c>
      <c r="U42">
        <v>10.410526315789401</v>
      </c>
      <c r="V42">
        <v>2086</v>
      </c>
      <c r="W42">
        <v>3490</v>
      </c>
      <c r="X42">
        <v>1404</v>
      </c>
      <c r="Y42">
        <v>1.6468974569322701E-2</v>
      </c>
      <c r="Z42">
        <v>1.9664160341465599E-2</v>
      </c>
    </row>
    <row r="43" spans="1:26" ht="34" x14ac:dyDescent="0.2">
      <c r="A43" s="13">
        <v>42</v>
      </c>
      <c r="B43" t="s">
        <v>206</v>
      </c>
      <c r="C43" s="11" t="s">
        <v>161</v>
      </c>
      <c r="D43">
        <v>5.11E-2</v>
      </c>
      <c r="E43" t="s">
        <v>202</v>
      </c>
      <c r="F43">
        <v>97</v>
      </c>
      <c r="G43">
        <v>39.5</v>
      </c>
      <c r="H43">
        <v>27780</v>
      </c>
      <c r="I43">
        <v>4160</v>
      </c>
      <c r="J43">
        <v>12536</v>
      </c>
      <c r="K43" s="12">
        <v>8.376E-9</v>
      </c>
      <c r="L43">
        <v>20</v>
      </c>
      <c r="M43">
        <v>6</v>
      </c>
      <c r="N43" t="s">
        <v>203</v>
      </c>
      <c r="O43">
        <v>40</v>
      </c>
      <c r="P43">
        <v>0.4</v>
      </c>
      <c r="Q43">
        <v>39.408940629116302</v>
      </c>
      <c r="R43">
        <v>2095</v>
      </c>
      <c r="S43">
        <v>1895</v>
      </c>
      <c r="T43">
        <v>2070</v>
      </c>
      <c r="U43">
        <v>12.708270676691701</v>
      </c>
      <c r="V43">
        <v>1966</v>
      </c>
      <c r="W43">
        <v>3510</v>
      </c>
      <c r="X43">
        <v>1544</v>
      </c>
      <c r="Y43">
        <v>1.00639295791299E-2</v>
      </c>
      <c r="Z43">
        <v>1.2552742147299E-2</v>
      </c>
    </row>
    <row r="44" spans="1:26" ht="34" x14ac:dyDescent="0.2">
      <c r="A44" s="13">
        <v>43</v>
      </c>
      <c r="B44" t="s">
        <v>205</v>
      </c>
      <c r="C44" s="11" t="s">
        <v>159</v>
      </c>
      <c r="D44">
        <v>7.0000000000000001E-3</v>
      </c>
      <c r="E44" t="s">
        <v>202</v>
      </c>
      <c r="F44">
        <v>42.5</v>
      </c>
      <c r="G44">
        <v>18.8</v>
      </c>
      <c r="H44">
        <v>27780</v>
      </c>
      <c r="I44">
        <v>4160</v>
      </c>
      <c r="J44">
        <v>9943</v>
      </c>
      <c r="K44" s="12">
        <v>5.7830000000000004E-9</v>
      </c>
      <c r="L44">
        <v>20</v>
      </c>
      <c r="M44">
        <v>6</v>
      </c>
      <c r="N44" t="s">
        <v>203</v>
      </c>
      <c r="O44">
        <v>40</v>
      </c>
      <c r="P44">
        <v>0.4</v>
      </c>
      <c r="Q44">
        <v>18.785718394816399</v>
      </c>
      <c r="R44">
        <v>1734</v>
      </c>
      <c r="S44">
        <v>1534</v>
      </c>
      <c r="T44">
        <v>1711</v>
      </c>
      <c r="U44">
        <v>20.506766917293199</v>
      </c>
      <c r="V44">
        <v>2154</v>
      </c>
      <c r="W44">
        <v>3846</v>
      </c>
      <c r="X44">
        <v>1692</v>
      </c>
      <c r="Y44">
        <v>6.9423713515001E-3</v>
      </c>
      <c r="Z44">
        <v>0</v>
      </c>
    </row>
    <row r="45" spans="1:26" ht="34" x14ac:dyDescent="0.2">
      <c r="A45" s="13">
        <v>44</v>
      </c>
      <c r="B45" t="s">
        <v>204</v>
      </c>
      <c r="C45" s="11" t="s">
        <v>157</v>
      </c>
      <c r="D45">
        <v>7.3499999999999998E-3</v>
      </c>
      <c r="E45" t="s">
        <v>202</v>
      </c>
      <c r="F45">
        <v>96.9</v>
      </c>
      <c r="G45">
        <v>39.4</v>
      </c>
      <c r="H45">
        <v>27780</v>
      </c>
      <c r="I45">
        <v>4200</v>
      </c>
      <c r="J45">
        <v>12571</v>
      </c>
      <c r="K45" s="12">
        <v>8.3709999999999993E-9</v>
      </c>
      <c r="L45">
        <v>20</v>
      </c>
      <c r="M45">
        <v>6</v>
      </c>
      <c r="N45" t="s">
        <v>203</v>
      </c>
      <c r="O45">
        <v>40</v>
      </c>
      <c r="P45">
        <v>0.4</v>
      </c>
      <c r="Q45">
        <v>39.361904838559099</v>
      </c>
      <c r="R45">
        <v>1754</v>
      </c>
      <c r="S45">
        <v>1535</v>
      </c>
      <c r="T45">
        <v>1747</v>
      </c>
      <c r="U45">
        <v>16.6601503759398</v>
      </c>
      <c r="V45">
        <v>1767</v>
      </c>
      <c r="W45">
        <v>3783</v>
      </c>
      <c r="X45">
        <v>2016</v>
      </c>
      <c r="Y45">
        <v>0</v>
      </c>
      <c r="Z45">
        <v>0</v>
      </c>
    </row>
    <row r="46" spans="1:26" ht="34" x14ac:dyDescent="0.2">
      <c r="A46" s="13">
        <v>45</v>
      </c>
      <c r="B46" t="s">
        <v>201</v>
      </c>
      <c r="C46" s="11" t="s">
        <v>154</v>
      </c>
      <c r="D46">
        <v>0</v>
      </c>
      <c r="E46" t="s">
        <v>202</v>
      </c>
      <c r="F46">
        <v>1.8</v>
      </c>
      <c r="G46">
        <v>2.6</v>
      </c>
      <c r="H46">
        <v>27780</v>
      </c>
      <c r="I46">
        <v>4140</v>
      </c>
      <c r="J46">
        <v>6288</v>
      </c>
      <c r="K46" s="12">
        <v>2.1479999999999901E-9</v>
      </c>
      <c r="L46">
        <v>20</v>
      </c>
      <c r="M46">
        <v>6</v>
      </c>
      <c r="N46" t="s">
        <v>203</v>
      </c>
      <c r="O46">
        <v>40</v>
      </c>
      <c r="P46">
        <v>0.4</v>
      </c>
      <c r="Q46">
        <v>2.59173132137157</v>
      </c>
      <c r="R46">
        <v>1682</v>
      </c>
      <c r="S46">
        <v>1467</v>
      </c>
      <c r="T46">
        <v>1658</v>
      </c>
      <c r="U46">
        <v>22.384210526315702</v>
      </c>
      <c r="V46">
        <v>2854</v>
      </c>
      <c r="W46">
        <v>4095</v>
      </c>
      <c r="X46">
        <v>1241</v>
      </c>
      <c r="Y46">
        <v>8.8954293003623008E-3</v>
      </c>
      <c r="Z46">
        <v>0</v>
      </c>
    </row>
    <row r="47" spans="1:26" ht="51" x14ac:dyDescent="0.2">
      <c r="A47" s="13">
        <v>46</v>
      </c>
      <c r="B47" t="s">
        <v>235</v>
      </c>
      <c r="C47" s="11" t="s">
        <v>279</v>
      </c>
      <c r="D47">
        <v>0.42399999999999999</v>
      </c>
      <c r="E47" t="s">
        <v>216</v>
      </c>
      <c r="F47">
        <v>-1</v>
      </c>
      <c r="G47">
        <v>79.900000000000006</v>
      </c>
      <c r="H47">
        <v>22500</v>
      </c>
      <c r="I47">
        <v>6480</v>
      </c>
      <c r="J47">
        <v>18730</v>
      </c>
      <c r="K47" s="12">
        <v>1.2250000000000001E-8</v>
      </c>
      <c r="L47">
        <v>20</v>
      </c>
      <c r="M47">
        <v>5</v>
      </c>
      <c r="N47" t="s">
        <v>69</v>
      </c>
      <c r="O47">
        <v>40</v>
      </c>
      <c r="P47">
        <v>0.4</v>
      </c>
      <c r="Q47">
        <v>84.293405630745994</v>
      </c>
      <c r="R47">
        <v>3830</v>
      </c>
      <c r="S47">
        <v>2074</v>
      </c>
      <c r="T47">
        <v>3826</v>
      </c>
      <c r="U47">
        <v>0.66917293233082698</v>
      </c>
      <c r="V47">
        <v>2095</v>
      </c>
      <c r="W47">
        <v>2162</v>
      </c>
      <c r="X47">
        <v>67</v>
      </c>
      <c r="Y47">
        <v>0.209707771220392</v>
      </c>
      <c r="Z47">
        <v>0.232467662883836</v>
      </c>
    </row>
    <row r="48" spans="1:26" ht="34" x14ac:dyDescent="0.2">
      <c r="A48" s="13">
        <v>47</v>
      </c>
      <c r="B48" t="s">
        <v>220</v>
      </c>
      <c r="C48" s="11" t="s">
        <v>177</v>
      </c>
      <c r="D48">
        <v>5.11E-2</v>
      </c>
      <c r="E48" t="s">
        <v>216</v>
      </c>
      <c r="F48">
        <v>99.7</v>
      </c>
      <c r="G48">
        <v>79.900000000000006</v>
      </c>
      <c r="H48">
        <v>22500</v>
      </c>
      <c r="I48">
        <v>6480</v>
      </c>
      <c r="J48">
        <v>18395</v>
      </c>
      <c r="K48" s="12">
        <v>1.1914999999999999E-8</v>
      </c>
      <c r="L48">
        <v>20</v>
      </c>
      <c r="M48">
        <v>5</v>
      </c>
      <c r="N48" t="s">
        <v>69</v>
      </c>
      <c r="O48">
        <v>40</v>
      </c>
      <c r="P48">
        <v>0.4</v>
      </c>
      <c r="Q48">
        <v>79.746111674778106</v>
      </c>
      <c r="R48">
        <v>3171</v>
      </c>
      <c r="S48">
        <v>2190</v>
      </c>
      <c r="T48">
        <v>3158</v>
      </c>
      <c r="U48">
        <v>8.9947368421052598</v>
      </c>
      <c r="V48">
        <v>2214</v>
      </c>
      <c r="W48">
        <v>3055</v>
      </c>
      <c r="X48">
        <v>841</v>
      </c>
      <c r="Y48">
        <v>5.7351301998592202E-2</v>
      </c>
      <c r="Z48">
        <v>7.2978093164729599E-2</v>
      </c>
    </row>
    <row r="49" spans="1:26" ht="34" x14ac:dyDescent="0.2">
      <c r="A49" s="13">
        <v>48</v>
      </c>
      <c r="B49" t="s">
        <v>236</v>
      </c>
      <c r="C49" s="11" t="s">
        <v>184</v>
      </c>
      <c r="D49">
        <v>0.437</v>
      </c>
      <c r="E49" t="s">
        <v>216</v>
      </c>
      <c r="F49">
        <v>-1</v>
      </c>
      <c r="G49">
        <v>80.900000000000006</v>
      </c>
      <c r="H49">
        <v>22500</v>
      </c>
      <c r="I49">
        <v>6460</v>
      </c>
      <c r="J49">
        <v>18452</v>
      </c>
      <c r="K49" s="12">
        <v>1.1992000000000001E-8</v>
      </c>
      <c r="L49">
        <v>20</v>
      </c>
      <c r="M49">
        <v>5</v>
      </c>
      <c r="N49" t="s">
        <v>69</v>
      </c>
      <c r="O49">
        <v>40</v>
      </c>
      <c r="P49">
        <v>0.4</v>
      </c>
      <c r="Q49">
        <v>80.780151415072297</v>
      </c>
      <c r="R49">
        <v>3834</v>
      </c>
      <c r="S49">
        <v>2067</v>
      </c>
      <c r="T49">
        <v>3806</v>
      </c>
      <c r="U49">
        <v>0.78270676691729302</v>
      </c>
      <c r="V49">
        <v>2099</v>
      </c>
      <c r="W49">
        <v>2158</v>
      </c>
      <c r="X49">
        <v>59</v>
      </c>
      <c r="Y49">
        <v>0.21298737018397201</v>
      </c>
      <c r="Z49">
        <v>0.23524851099251601</v>
      </c>
    </row>
    <row r="50" spans="1:26" ht="34" x14ac:dyDescent="0.2">
      <c r="A50" s="13">
        <v>49</v>
      </c>
      <c r="B50" t="s">
        <v>237</v>
      </c>
      <c r="C50" s="11" t="s">
        <v>165</v>
      </c>
      <c r="D50">
        <v>0.1552</v>
      </c>
      <c r="E50" t="s">
        <v>216</v>
      </c>
      <c r="F50">
        <v>-1</v>
      </c>
      <c r="G50">
        <v>80.900000000000006</v>
      </c>
      <c r="H50">
        <v>22500</v>
      </c>
      <c r="I50">
        <v>6480</v>
      </c>
      <c r="J50">
        <v>18380</v>
      </c>
      <c r="K50" s="12">
        <v>1.1900000000000001E-8</v>
      </c>
      <c r="L50">
        <v>20</v>
      </c>
      <c r="M50">
        <v>5</v>
      </c>
      <c r="N50" t="s">
        <v>69</v>
      </c>
      <c r="O50">
        <v>40</v>
      </c>
      <c r="P50">
        <v>0.4</v>
      </c>
      <c r="Q50">
        <v>79.5454505380754</v>
      </c>
      <c r="R50">
        <v>3627</v>
      </c>
      <c r="S50">
        <v>2202</v>
      </c>
      <c r="T50">
        <v>3619</v>
      </c>
      <c r="U50">
        <v>2.06541353383458</v>
      </c>
      <c r="V50">
        <v>2206</v>
      </c>
      <c r="W50">
        <v>2411</v>
      </c>
      <c r="X50">
        <v>205</v>
      </c>
      <c r="Y50">
        <v>0.140594955289635</v>
      </c>
      <c r="Z50">
        <v>0.160157330894523</v>
      </c>
    </row>
    <row r="51" spans="1:26" ht="34" x14ac:dyDescent="0.2">
      <c r="A51" s="13">
        <v>50</v>
      </c>
      <c r="B51" t="s">
        <v>238</v>
      </c>
      <c r="C51" s="11" t="s">
        <v>167</v>
      </c>
      <c r="D51">
        <v>0.41399999999999998</v>
      </c>
      <c r="E51" t="s">
        <v>216</v>
      </c>
      <c r="F51">
        <v>-1</v>
      </c>
      <c r="G51">
        <v>80.900000000000006</v>
      </c>
      <c r="H51">
        <v>22500</v>
      </c>
      <c r="I51">
        <v>6480</v>
      </c>
      <c r="J51">
        <v>18488</v>
      </c>
      <c r="K51" s="12">
        <v>1.2008000000000001E-8</v>
      </c>
      <c r="L51">
        <v>20</v>
      </c>
      <c r="M51">
        <v>5</v>
      </c>
      <c r="N51" t="s">
        <v>69</v>
      </c>
      <c r="O51">
        <v>40</v>
      </c>
      <c r="P51">
        <v>0.4</v>
      </c>
      <c r="Q51">
        <v>80.995852657969095</v>
      </c>
      <c r="R51">
        <v>3831</v>
      </c>
      <c r="S51">
        <v>2078</v>
      </c>
      <c r="T51">
        <v>3822</v>
      </c>
      <c r="U51">
        <v>0.66691729323308202</v>
      </c>
      <c r="V51">
        <v>2102</v>
      </c>
      <c r="W51">
        <v>2162</v>
      </c>
      <c r="X51">
        <v>60</v>
      </c>
      <c r="Y51">
        <v>0.21235324106200401</v>
      </c>
      <c r="Z51">
        <v>0.23459424664357001</v>
      </c>
    </row>
    <row r="52" spans="1:26" ht="34" x14ac:dyDescent="0.2">
      <c r="A52" s="13">
        <v>51</v>
      </c>
      <c r="B52" t="s">
        <v>217</v>
      </c>
      <c r="C52" s="11" t="s">
        <v>157</v>
      </c>
      <c r="D52">
        <v>7.3499999999999998E-3</v>
      </c>
      <c r="E52" t="s">
        <v>216</v>
      </c>
      <c r="F52">
        <v>99.1</v>
      </c>
      <c r="G52">
        <v>79.3</v>
      </c>
      <c r="H52">
        <v>22500</v>
      </c>
      <c r="I52">
        <v>6500</v>
      </c>
      <c r="J52">
        <v>18374</v>
      </c>
      <c r="K52" s="12">
        <v>1.1873999999999999E-8</v>
      </c>
      <c r="L52">
        <v>20</v>
      </c>
      <c r="M52">
        <v>5</v>
      </c>
      <c r="N52" t="s">
        <v>69</v>
      </c>
      <c r="O52">
        <v>40</v>
      </c>
      <c r="P52">
        <v>0.4</v>
      </c>
      <c r="Q52">
        <v>79.198236696761995</v>
      </c>
      <c r="R52">
        <v>2139</v>
      </c>
      <c r="S52">
        <v>1550</v>
      </c>
      <c r="T52">
        <v>2138</v>
      </c>
      <c r="U52">
        <v>18.151127819548801</v>
      </c>
      <c r="V52">
        <v>1622</v>
      </c>
      <c r="W52">
        <v>3355</v>
      </c>
      <c r="X52">
        <v>1733</v>
      </c>
      <c r="Y52">
        <v>0</v>
      </c>
      <c r="Z52">
        <v>8.8738755317620006E-3</v>
      </c>
    </row>
    <row r="53" spans="1:26" ht="34" x14ac:dyDescent="0.2">
      <c r="A53" s="13">
        <v>52</v>
      </c>
      <c r="B53" t="s">
        <v>221</v>
      </c>
      <c r="C53" s="11" t="s">
        <v>163</v>
      </c>
      <c r="D53">
        <v>7.9600000000000004E-2</v>
      </c>
      <c r="E53" t="s">
        <v>216</v>
      </c>
      <c r="F53">
        <v>100</v>
      </c>
      <c r="G53">
        <v>80.900000000000006</v>
      </c>
      <c r="H53">
        <v>22500</v>
      </c>
      <c r="I53">
        <v>6460</v>
      </c>
      <c r="J53">
        <v>18454</v>
      </c>
      <c r="K53" s="12">
        <v>1.1994E-8</v>
      </c>
      <c r="L53">
        <v>20</v>
      </c>
      <c r="M53">
        <v>5</v>
      </c>
      <c r="N53" t="s">
        <v>69</v>
      </c>
      <c r="O53">
        <v>40</v>
      </c>
      <c r="P53">
        <v>0.4</v>
      </c>
      <c r="Q53">
        <v>80.807098342218794</v>
      </c>
      <c r="R53">
        <v>3355</v>
      </c>
      <c r="S53">
        <v>2210</v>
      </c>
      <c r="T53">
        <v>3343</v>
      </c>
      <c r="U53">
        <v>6.3097744360902199</v>
      </c>
      <c r="V53">
        <v>2226</v>
      </c>
      <c r="W53">
        <v>2762</v>
      </c>
      <c r="X53">
        <v>536</v>
      </c>
      <c r="Y53">
        <v>8.4920239031767195E-2</v>
      </c>
      <c r="Z53">
        <v>0.102220286915569</v>
      </c>
    </row>
    <row r="54" spans="1:26" ht="51" x14ac:dyDescent="0.2">
      <c r="A54" s="13">
        <v>53</v>
      </c>
      <c r="B54" t="s">
        <v>218</v>
      </c>
      <c r="C54" s="11" t="s">
        <v>219</v>
      </c>
      <c r="D54">
        <v>7.0000000000000001E-3</v>
      </c>
      <c r="E54" t="s">
        <v>216</v>
      </c>
      <c r="F54">
        <v>37.299999999999997</v>
      </c>
      <c r="G54">
        <v>23.3</v>
      </c>
      <c r="H54">
        <v>22500</v>
      </c>
      <c r="I54">
        <v>6480</v>
      </c>
      <c r="J54">
        <v>12919</v>
      </c>
      <c r="K54" s="12">
        <v>6.4389999999999998E-9</v>
      </c>
      <c r="L54">
        <v>20</v>
      </c>
      <c r="M54">
        <v>5</v>
      </c>
      <c r="N54" t="s">
        <v>69</v>
      </c>
      <c r="O54">
        <v>40</v>
      </c>
      <c r="P54">
        <v>0.4</v>
      </c>
      <c r="Q54">
        <v>23.289398570570199</v>
      </c>
      <c r="R54">
        <v>2026</v>
      </c>
      <c r="S54">
        <v>1870</v>
      </c>
      <c r="T54">
        <v>2015</v>
      </c>
      <c r="U54">
        <v>19.506015037593901</v>
      </c>
      <c r="V54">
        <v>2078</v>
      </c>
      <c r="W54">
        <v>3795</v>
      </c>
      <c r="X54">
        <v>1717</v>
      </c>
      <c r="Y54">
        <v>6.1101065162670002E-3</v>
      </c>
      <c r="Z54">
        <v>5.2775646805847997E-3</v>
      </c>
    </row>
    <row r="55" spans="1:26" ht="34" x14ac:dyDescent="0.2">
      <c r="A55" s="13">
        <v>54</v>
      </c>
      <c r="B55" t="s">
        <v>239</v>
      </c>
      <c r="C55" s="11" t="s">
        <v>159</v>
      </c>
      <c r="D55">
        <v>7.0000000000000001E-3</v>
      </c>
      <c r="E55" t="s">
        <v>216</v>
      </c>
      <c r="F55">
        <v>38</v>
      </c>
      <c r="G55">
        <v>24</v>
      </c>
      <c r="H55">
        <v>22500</v>
      </c>
      <c r="I55">
        <v>6480</v>
      </c>
      <c r="J55">
        <v>13014</v>
      </c>
      <c r="K55" s="12">
        <v>6.534E-9</v>
      </c>
      <c r="L55">
        <v>20</v>
      </c>
      <c r="M55">
        <v>5</v>
      </c>
      <c r="N55" t="s">
        <v>69</v>
      </c>
      <c r="O55">
        <v>40</v>
      </c>
      <c r="P55">
        <v>0.4</v>
      </c>
      <c r="Q55">
        <v>23.981684407261699</v>
      </c>
      <c r="R55">
        <v>2027</v>
      </c>
      <c r="S55">
        <v>1870</v>
      </c>
      <c r="T55">
        <v>2011</v>
      </c>
      <c r="U55">
        <v>19.594736842105199</v>
      </c>
      <c r="V55">
        <v>2103</v>
      </c>
      <c r="W55">
        <v>3790</v>
      </c>
      <c r="X55">
        <v>1687</v>
      </c>
      <c r="Y55">
        <v>7.1615387397911999E-3</v>
      </c>
      <c r="Z55">
        <v>5.9198846780582001E-3</v>
      </c>
    </row>
    <row r="56" spans="1:26" ht="51" x14ac:dyDescent="0.2">
      <c r="A56" s="13">
        <v>55</v>
      </c>
      <c r="B56" t="s">
        <v>214</v>
      </c>
      <c r="C56" s="11" t="s">
        <v>215</v>
      </c>
      <c r="D56">
        <v>0</v>
      </c>
      <c r="E56" t="s">
        <v>216</v>
      </c>
      <c r="F56">
        <v>2.6</v>
      </c>
      <c r="G56">
        <v>2.5</v>
      </c>
      <c r="H56">
        <v>22500</v>
      </c>
      <c r="I56">
        <v>6460</v>
      </c>
      <c r="J56">
        <v>8558</v>
      </c>
      <c r="K56" s="12">
        <v>2.098E-9</v>
      </c>
      <c r="L56">
        <v>20</v>
      </c>
      <c r="M56">
        <v>5</v>
      </c>
      <c r="N56" t="s">
        <v>69</v>
      </c>
      <c r="O56">
        <v>40</v>
      </c>
      <c r="P56">
        <v>0.4</v>
      </c>
      <c r="Q56">
        <v>2.4724777435929299</v>
      </c>
      <c r="R56">
        <v>1674</v>
      </c>
      <c r="S56">
        <v>1510</v>
      </c>
      <c r="T56">
        <v>1659</v>
      </c>
      <c r="U56">
        <v>22.7060150375939</v>
      </c>
      <c r="V56">
        <v>2763</v>
      </c>
      <c r="W56">
        <v>4095</v>
      </c>
      <c r="X56">
        <v>1332</v>
      </c>
      <c r="Y56">
        <v>7.6120433099901999E-3</v>
      </c>
      <c r="Z56">
        <v>0</v>
      </c>
    </row>
    <row r="57" spans="1:26" ht="34" x14ac:dyDescent="0.2">
      <c r="A57" s="13">
        <v>56</v>
      </c>
      <c r="B57" t="s">
        <v>280</v>
      </c>
      <c r="C57" s="11" t="s">
        <v>281</v>
      </c>
      <c r="D57">
        <v>1.7999999999999999E-2</v>
      </c>
      <c r="E57" t="s">
        <v>282</v>
      </c>
      <c r="F57">
        <v>42.1</v>
      </c>
      <c r="G57">
        <v>20.6</v>
      </c>
      <c r="H57">
        <v>29285</v>
      </c>
      <c r="I57">
        <v>4100</v>
      </c>
      <c r="J57">
        <v>5310</v>
      </c>
      <c r="K57" s="12">
        <v>1.20999999999999E-9</v>
      </c>
      <c r="L57">
        <v>20</v>
      </c>
      <c r="M57">
        <v>2</v>
      </c>
      <c r="N57" t="s">
        <v>120</v>
      </c>
      <c r="O57">
        <v>8</v>
      </c>
      <c r="P57">
        <v>0.08</v>
      </c>
      <c r="Q57">
        <v>20.560429018571401</v>
      </c>
      <c r="R57">
        <v>1710</v>
      </c>
      <c r="S57">
        <v>1118</v>
      </c>
      <c r="T57">
        <v>1531</v>
      </c>
      <c r="U57">
        <v>26.034586466165401</v>
      </c>
      <c r="V57">
        <v>1122</v>
      </c>
      <c r="W57">
        <v>3579</v>
      </c>
      <c r="X57">
        <v>2457</v>
      </c>
      <c r="Y57">
        <v>0</v>
      </c>
      <c r="Z57">
        <v>0</v>
      </c>
    </row>
    <row r="58" spans="1:26" ht="34" x14ac:dyDescent="0.2">
      <c r="A58" s="13">
        <v>57</v>
      </c>
      <c r="B58" t="s">
        <v>283</v>
      </c>
      <c r="C58" s="11" t="s">
        <v>284</v>
      </c>
      <c r="D58">
        <v>0.59199999999999997</v>
      </c>
      <c r="E58" t="s">
        <v>282</v>
      </c>
      <c r="F58">
        <v>100</v>
      </c>
      <c r="G58">
        <v>46.1</v>
      </c>
      <c r="H58">
        <v>29285</v>
      </c>
      <c r="I58">
        <v>4100</v>
      </c>
      <c r="J58">
        <v>5911</v>
      </c>
      <c r="K58" s="12">
        <v>1.8109999999999899E-9</v>
      </c>
      <c r="L58">
        <v>20</v>
      </c>
      <c r="M58">
        <v>2</v>
      </c>
      <c r="N58" t="s">
        <v>120</v>
      </c>
      <c r="O58">
        <v>8</v>
      </c>
      <c r="P58">
        <v>0.08</v>
      </c>
      <c r="Q58">
        <v>46.0572848994045</v>
      </c>
      <c r="R58">
        <v>1703</v>
      </c>
      <c r="S58">
        <v>567</v>
      </c>
      <c r="T58">
        <v>1530</v>
      </c>
      <c r="U58">
        <v>8.3984962406014994</v>
      </c>
      <c r="V58">
        <v>579</v>
      </c>
      <c r="W58">
        <v>3302</v>
      </c>
      <c r="X58">
        <v>2723</v>
      </c>
      <c r="Y58">
        <v>0</v>
      </c>
      <c r="Z58">
        <v>0</v>
      </c>
    </row>
    <row r="59" spans="1:26" ht="34" x14ac:dyDescent="0.2">
      <c r="A59" s="13">
        <v>58</v>
      </c>
      <c r="B59" t="s">
        <v>285</v>
      </c>
      <c r="C59" s="11" t="s">
        <v>286</v>
      </c>
      <c r="D59">
        <v>0.316</v>
      </c>
      <c r="E59" t="s">
        <v>282</v>
      </c>
      <c r="F59">
        <v>100</v>
      </c>
      <c r="G59">
        <v>45</v>
      </c>
      <c r="H59">
        <v>29285</v>
      </c>
      <c r="I59">
        <v>4120</v>
      </c>
      <c r="J59">
        <v>5908</v>
      </c>
      <c r="K59" s="12">
        <v>1.788E-9</v>
      </c>
      <c r="L59">
        <v>20</v>
      </c>
      <c r="M59">
        <v>2</v>
      </c>
      <c r="N59" t="s">
        <v>120</v>
      </c>
      <c r="O59">
        <v>8</v>
      </c>
      <c r="P59">
        <v>0.08</v>
      </c>
      <c r="Q59">
        <v>44.894843377056198</v>
      </c>
      <c r="R59">
        <v>1711</v>
      </c>
      <c r="S59">
        <v>638</v>
      </c>
      <c r="T59">
        <v>1515</v>
      </c>
      <c r="U59">
        <v>12.2842105263157</v>
      </c>
      <c r="V59">
        <v>646</v>
      </c>
      <c r="W59">
        <v>3251</v>
      </c>
      <c r="X59">
        <v>2605</v>
      </c>
      <c r="Y59">
        <v>0</v>
      </c>
      <c r="Z59">
        <v>0</v>
      </c>
    </row>
    <row r="60" spans="1:26" ht="34" x14ac:dyDescent="0.2">
      <c r="A60" s="13">
        <v>59</v>
      </c>
      <c r="B60" t="s">
        <v>287</v>
      </c>
      <c r="C60" s="11" t="s">
        <v>288</v>
      </c>
      <c r="D60">
        <v>0.106</v>
      </c>
      <c r="E60" t="s">
        <v>282</v>
      </c>
      <c r="F60">
        <v>41.5</v>
      </c>
      <c r="G60">
        <v>20.3</v>
      </c>
      <c r="H60">
        <v>29285</v>
      </c>
      <c r="I60">
        <v>4080</v>
      </c>
      <c r="J60">
        <v>5282</v>
      </c>
      <c r="K60" s="12">
        <v>1.2019999999999901E-9</v>
      </c>
      <c r="L60">
        <v>20</v>
      </c>
      <c r="M60">
        <v>2</v>
      </c>
      <c r="N60" t="s">
        <v>120</v>
      </c>
      <c r="O60">
        <v>8</v>
      </c>
      <c r="P60">
        <v>0.08</v>
      </c>
      <c r="Q60">
        <v>20.289454332182299</v>
      </c>
      <c r="R60">
        <v>1698</v>
      </c>
      <c r="S60">
        <v>1031</v>
      </c>
      <c r="T60">
        <v>1551</v>
      </c>
      <c r="U60">
        <v>14.976691729323299</v>
      </c>
      <c r="V60">
        <v>1038</v>
      </c>
      <c r="W60">
        <v>3258</v>
      </c>
      <c r="X60">
        <v>2220</v>
      </c>
      <c r="Y60">
        <v>0</v>
      </c>
      <c r="Z60">
        <v>0</v>
      </c>
    </row>
    <row r="61" spans="1:26" ht="34" x14ac:dyDescent="0.2">
      <c r="A61" s="13">
        <v>60</v>
      </c>
      <c r="B61" t="s">
        <v>289</v>
      </c>
      <c r="C61" s="11" t="s">
        <v>290</v>
      </c>
      <c r="D61">
        <v>2.8400000000000002E-2</v>
      </c>
      <c r="E61" t="s">
        <v>282</v>
      </c>
      <c r="F61">
        <v>100</v>
      </c>
      <c r="G61">
        <v>46</v>
      </c>
      <c r="H61">
        <v>29285</v>
      </c>
      <c r="I61">
        <v>4100</v>
      </c>
      <c r="J61">
        <v>5909</v>
      </c>
      <c r="K61" s="12">
        <v>1.8089999999999899E-9</v>
      </c>
      <c r="L61">
        <v>20</v>
      </c>
      <c r="M61">
        <v>2</v>
      </c>
      <c r="N61" t="s">
        <v>120</v>
      </c>
      <c r="O61">
        <v>8</v>
      </c>
      <c r="P61">
        <v>0.08</v>
      </c>
      <c r="Q61">
        <v>45.955613219809898</v>
      </c>
      <c r="R61">
        <v>1702</v>
      </c>
      <c r="S61">
        <v>763</v>
      </c>
      <c r="T61">
        <v>1527</v>
      </c>
      <c r="U61">
        <v>21.3473684210526</v>
      </c>
      <c r="V61">
        <v>786</v>
      </c>
      <c r="W61">
        <v>3555</v>
      </c>
      <c r="X61">
        <v>2769</v>
      </c>
      <c r="Y61">
        <v>0</v>
      </c>
      <c r="Z61">
        <v>0</v>
      </c>
    </row>
    <row r="62" spans="1:26" ht="34" x14ac:dyDescent="0.2">
      <c r="A62" s="13">
        <v>61</v>
      </c>
      <c r="B62" t="s">
        <v>291</v>
      </c>
      <c r="C62" s="11" t="s">
        <v>284</v>
      </c>
      <c r="D62">
        <v>0.59199999999999997</v>
      </c>
      <c r="E62" t="s">
        <v>282</v>
      </c>
      <c r="F62">
        <v>-1</v>
      </c>
      <c r="G62">
        <v>58.3</v>
      </c>
      <c r="H62">
        <v>29045</v>
      </c>
      <c r="I62">
        <v>4052</v>
      </c>
      <c r="J62">
        <v>6499</v>
      </c>
      <c r="K62" s="12">
        <v>2.4469999999999999E-9</v>
      </c>
      <c r="L62">
        <v>20</v>
      </c>
      <c r="M62">
        <v>1</v>
      </c>
      <c r="N62" t="s">
        <v>81</v>
      </c>
      <c r="O62">
        <v>7.8</v>
      </c>
      <c r="P62">
        <v>7.8E-2</v>
      </c>
      <c r="Q62">
        <v>88.4545422096799</v>
      </c>
      <c r="R62">
        <v>3726</v>
      </c>
      <c r="S62">
        <v>2266</v>
      </c>
      <c r="T62">
        <v>3659</v>
      </c>
      <c r="U62">
        <v>1.7097744360902201</v>
      </c>
      <c r="V62">
        <v>2303</v>
      </c>
      <c r="W62">
        <v>2435</v>
      </c>
      <c r="X62">
        <v>132</v>
      </c>
      <c r="Y62">
        <v>0.91494279196299999</v>
      </c>
      <c r="Z62">
        <v>1.0184534066525801</v>
      </c>
    </row>
    <row r="63" spans="1:26" ht="34" x14ac:dyDescent="0.2">
      <c r="A63" s="13">
        <v>62</v>
      </c>
      <c r="B63" t="s">
        <v>292</v>
      </c>
      <c r="C63" s="11" t="s">
        <v>286</v>
      </c>
      <c r="D63">
        <v>0.316</v>
      </c>
      <c r="E63" t="s">
        <v>282</v>
      </c>
      <c r="F63">
        <v>79.2</v>
      </c>
      <c r="G63">
        <v>58.3</v>
      </c>
      <c r="H63">
        <v>29045</v>
      </c>
      <c r="I63">
        <v>4120</v>
      </c>
      <c r="J63">
        <v>6416</v>
      </c>
      <c r="K63" s="12">
        <v>2.2959999999999999E-9</v>
      </c>
      <c r="L63">
        <v>20</v>
      </c>
      <c r="M63">
        <v>1</v>
      </c>
      <c r="N63" t="s">
        <v>81</v>
      </c>
      <c r="O63">
        <v>7.8</v>
      </c>
      <c r="P63">
        <v>7.8E-2</v>
      </c>
      <c r="Q63">
        <v>77.874624922943298</v>
      </c>
      <c r="R63">
        <v>3527</v>
      </c>
      <c r="S63">
        <v>2271</v>
      </c>
      <c r="T63">
        <v>3406</v>
      </c>
      <c r="U63">
        <v>6.8090225563909703</v>
      </c>
      <c r="V63">
        <v>2271</v>
      </c>
      <c r="W63">
        <v>2663</v>
      </c>
      <c r="X63">
        <v>392</v>
      </c>
      <c r="Y63">
        <v>0.52746479192628604</v>
      </c>
      <c r="Z63">
        <v>0.61892903566483004</v>
      </c>
    </row>
    <row r="64" spans="1:26" ht="34" x14ac:dyDescent="0.2">
      <c r="A64" s="13">
        <v>63</v>
      </c>
      <c r="B64" t="s">
        <v>293</v>
      </c>
      <c r="C64" s="11" t="s">
        <v>288</v>
      </c>
      <c r="D64">
        <v>0.106</v>
      </c>
      <c r="E64" t="s">
        <v>282</v>
      </c>
      <c r="F64">
        <v>37.700000000000003</v>
      </c>
      <c r="G64">
        <v>23.7</v>
      </c>
      <c r="H64">
        <v>29045</v>
      </c>
      <c r="I64">
        <v>4080</v>
      </c>
      <c r="J64">
        <v>5379</v>
      </c>
      <c r="K64" s="12">
        <v>1.29899999999999E-9</v>
      </c>
      <c r="L64">
        <v>20</v>
      </c>
      <c r="M64">
        <v>1</v>
      </c>
      <c r="N64" t="s">
        <v>81</v>
      </c>
      <c r="O64">
        <v>7.8</v>
      </c>
      <c r="P64">
        <v>7.8E-2</v>
      </c>
      <c r="Q64">
        <v>24.927028063045402</v>
      </c>
      <c r="R64">
        <v>2998</v>
      </c>
      <c r="S64">
        <v>2407</v>
      </c>
      <c r="T64">
        <v>2898</v>
      </c>
      <c r="U64">
        <v>12.786466165413501</v>
      </c>
      <c r="V64">
        <v>2414</v>
      </c>
      <c r="W64">
        <v>3143</v>
      </c>
      <c r="X64">
        <v>729</v>
      </c>
      <c r="Y64">
        <v>0.20340279637388101</v>
      </c>
      <c r="Z64">
        <v>0.23363647288240399</v>
      </c>
    </row>
    <row r="65" spans="1:28" ht="34" x14ac:dyDescent="0.2">
      <c r="A65" s="13">
        <v>64</v>
      </c>
      <c r="B65" t="s">
        <v>294</v>
      </c>
      <c r="C65" s="11" t="s">
        <v>290</v>
      </c>
      <c r="D65">
        <v>2.8400000000000002E-2</v>
      </c>
      <c r="E65" t="s">
        <v>282</v>
      </c>
      <c r="F65">
        <v>79.3</v>
      </c>
      <c r="G65">
        <v>58.4</v>
      </c>
      <c r="H65">
        <v>29045</v>
      </c>
      <c r="I65">
        <v>4121</v>
      </c>
      <c r="J65">
        <v>6397</v>
      </c>
      <c r="K65" s="12">
        <v>2.276E-9</v>
      </c>
      <c r="L65">
        <v>20</v>
      </c>
      <c r="M65">
        <v>1</v>
      </c>
      <c r="N65" t="s">
        <v>81</v>
      </c>
      <c r="O65">
        <v>7.8</v>
      </c>
      <c r="P65">
        <v>7.8E-2</v>
      </c>
      <c r="Q65">
        <v>76.523833115847694</v>
      </c>
      <c r="R65">
        <v>2287</v>
      </c>
      <c r="S65">
        <v>1315</v>
      </c>
      <c r="T65">
        <v>2159</v>
      </c>
      <c r="U65">
        <v>23.563157894736801</v>
      </c>
      <c r="V65">
        <v>1318</v>
      </c>
      <c r="W65">
        <v>3718</v>
      </c>
      <c r="X65">
        <v>2400</v>
      </c>
      <c r="Y65">
        <v>0</v>
      </c>
      <c r="Z65">
        <v>0</v>
      </c>
    </row>
    <row r="66" spans="1:28" ht="34" x14ac:dyDescent="0.2">
      <c r="A66" s="13">
        <v>65</v>
      </c>
      <c r="B66" t="s">
        <v>295</v>
      </c>
      <c r="C66" s="11" t="s">
        <v>281</v>
      </c>
      <c r="D66">
        <v>1.7999999999999999E-2</v>
      </c>
      <c r="E66" t="s">
        <v>282</v>
      </c>
      <c r="F66">
        <v>38.5</v>
      </c>
      <c r="G66">
        <v>24.6</v>
      </c>
      <c r="H66">
        <v>29045</v>
      </c>
      <c r="I66">
        <v>4080</v>
      </c>
      <c r="J66">
        <v>5402</v>
      </c>
      <c r="K66" s="12">
        <v>1.322E-9</v>
      </c>
      <c r="L66">
        <v>20</v>
      </c>
      <c r="M66">
        <v>1</v>
      </c>
      <c r="N66" t="s">
        <v>81</v>
      </c>
      <c r="O66">
        <v>7.8</v>
      </c>
      <c r="P66">
        <v>7.8E-2</v>
      </c>
      <c r="Q66">
        <v>25.817554993350999</v>
      </c>
      <c r="R66">
        <v>2099</v>
      </c>
      <c r="S66">
        <v>1651</v>
      </c>
      <c r="T66">
        <v>1994</v>
      </c>
      <c r="U66">
        <v>27.093984962406001</v>
      </c>
      <c r="V66">
        <v>1654</v>
      </c>
      <c r="W66">
        <v>3846</v>
      </c>
      <c r="X66">
        <v>2192</v>
      </c>
      <c r="Y66">
        <v>0</v>
      </c>
      <c r="Z66">
        <v>0</v>
      </c>
    </row>
    <row r="67" spans="1:28" ht="34" x14ac:dyDescent="0.2">
      <c r="A67" s="13">
        <v>66</v>
      </c>
      <c r="B67" t="s">
        <v>296</v>
      </c>
      <c r="C67" s="11" t="s">
        <v>286</v>
      </c>
      <c r="D67">
        <v>0.316</v>
      </c>
      <c r="E67" t="s">
        <v>282</v>
      </c>
      <c r="F67">
        <v>99.5</v>
      </c>
      <c r="G67">
        <v>79.7</v>
      </c>
      <c r="H67">
        <v>20105</v>
      </c>
      <c r="I67">
        <v>4100</v>
      </c>
      <c r="J67">
        <v>10050</v>
      </c>
      <c r="K67" s="12">
        <v>5.9500000000000003E-9</v>
      </c>
      <c r="L67">
        <v>20</v>
      </c>
      <c r="M67">
        <v>1</v>
      </c>
      <c r="N67" t="s">
        <v>81</v>
      </c>
      <c r="O67">
        <v>20</v>
      </c>
      <c r="P67">
        <v>0.2</v>
      </c>
      <c r="Q67">
        <v>79.5454505380754</v>
      </c>
      <c r="R67">
        <v>3715</v>
      </c>
      <c r="S67">
        <v>2163</v>
      </c>
      <c r="T67">
        <v>3511</v>
      </c>
      <c r="U67">
        <v>1.86992481203007</v>
      </c>
      <c r="V67">
        <v>2166</v>
      </c>
      <c r="W67">
        <v>2439</v>
      </c>
      <c r="X67">
        <v>273</v>
      </c>
      <c r="Y67">
        <v>0.24512161779046901</v>
      </c>
      <c r="Z67">
        <v>0.28636793357072099</v>
      </c>
      <c r="AA67">
        <v>0.35339543711254073</v>
      </c>
      <c r="AB67">
        <v>0.30199413524252694</v>
      </c>
    </row>
    <row r="68" spans="1:28" ht="34" x14ac:dyDescent="0.2">
      <c r="A68" s="13">
        <v>67</v>
      </c>
      <c r="B68" t="s">
        <v>297</v>
      </c>
      <c r="C68" s="11" t="s">
        <v>288</v>
      </c>
      <c r="D68">
        <v>0.106</v>
      </c>
      <c r="E68" t="s">
        <v>282</v>
      </c>
      <c r="F68">
        <v>38.4</v>
      </c>
      <c r="G68">
        <v>24.6</v>
      </c>
      <c r="H68">
        <v>20105</v>
      </c>
      <c r="I68">
        <v>4100</v>
      </c>
      <c r="J68">
        <v>7404</v>
      </c>
      <c r="K68" s="12">
        <v>3.3039999999999898E-9</v>
      </c>
      <c r="L68">
        <v>20</v>
      </c>
      <c r="M68">
        <v>1</v>
      </c>
      <c r="N68" t="s">
        <v>81</v>
      </c>
      <c r="O68">
        <v>20</v>
      </c>
      <c r="P68">
        <v>0.2</v>
      </c>
      <c r="Q68">
        <v>24.527963533113599</v>
      </c>
      <c r="R68">
        <v>3282</v>
      </c>
      <c r="S68">
        <v>2490</v>
      </c>
      <c r="T68">
        <v>3090</v>
      </c>
      <c r="U68">
        <v>5.5233082706766901</v>
      </c>
      <c r="V68">
        <v>2490</v>
      </c>
      <c r="W68">
        <v>2859</v>
      </c>
      <c r="X68">
        <v>369</v>
      </c>
      <c r="Y68">
        <v>0.12547311696890501</v>
      </c>
      <c r="Z68">
        <v>0.13967971033773799</v>
      </c>
      <c r="AA68">
        <v>0.18560201301376866</v>
      </c>
      <c r="AB68">
        <v>0.14949708221011662</v>
      </c>
    </row>
    <row r="69" spans="1:28" ht="34" x14ac:dyDescent="0.2">
      <c r="A69" s="13">
        <v>68</v>
      </c>
      <c r="B69" t="s">
        <v>298</v>
      </c>
      <c r="C69" s="11" t="s">
        <v>290</v>
      </c>
      <c r="D69">
        <v>2.8400000000000002E-2</v>
      </c>
      <c r="E69" t="s">
        <v>282</v>
      </c>
      <c r="F69">
        <v>100</v>
      </c>
      <c r="G69">
        <v>81.8</v>
      </c>
      <c r="H69">
        <v>20105</v>
      </c>
      <c r="I69">
        <v>4100</v>
      </c>
      <c r="J69">
        <v>10130</v>
      </c>
      <c r="K69" s="12">
        <v>6.0300000000000001E-9</v>
      </c>
      <c r="L69">
        <v>20</v>
      </c>
      <c r="M69">
        <v>1</v>
      </c>
      <c r="N69" t="s">
        <v>81</v>
      </c>
      <c r="O69">
        <v>20</v>
      </c>
      <c r="P69">
        <v>0.2</v>
      </c>
      <c r="Q69">
        <v>81.698867946328804</v>
      </c>
      <c r="R69">
        <v>2587</v>
      </c>
      <c r="S69">
        <v>1695</v>
      </c>
      <c r="T69">
        <v>2371</v>
      </c>
      <c r="U69">
        <v>24.147368421052601</v>
      </c>
      <c r="V69">
        <v>1747</v>
      </c>
      <c r="W69">
        <v>3455</v>
      </c>
      <c r="X69">
        <v>1708</v>
      </c>
      <c r="Y69">
        <v>2.7078969142602998E-3</v>
      </c>
      <c r="Z69">
        <v>3.6433626074657798E-2</v>
      </c>
      <c r="AA69">
        <v>0.11255481977301827</v>
      </c>
      <c r="AB69">
        <v>5.3298702212955545E-2</v>
      </c>
    </row>
    <row r="70" spans="1:28" ht="34" x14ac:dyDescent="0.2">
      <c r="A70" s="13">
        <v>69</v>
      </c>
      <c r="B70" t="s">
        <v>299</v>
      </c>
      <c r="C70" s="11" t="s">
        <v>281</v>
      </c>
      <c r="D70">
        <v>1.7999999999999999E-2</v>
      </c>
      <c r="E70" t="s">
        <v>282</v>
      </c>
      <c r="F70">
        <v>45.8</v>
      </c>
      <c r="G70">
        <v>28.6</v>
      </c>
      <c r="H70">
        <v>20105</v>
      </c>
      <c r="I70">
        <v>4111</v>
      </c>
      <c r="J70">
        <v>7485</v>
      </c>
      <c r="K70" s="12">
        <v>3.3740000000000001E-9</v>
      </c>
      <c r="L70">
        <v>20</v>
      </c>
      <c r="M70">
        <v>1</v>
      </c>
      <c r="N70" t="s">
        <v>81</v>
      </c>
      <c r="O70">
        <v>20</v>
      </c>
      <c r="P70">
        <v>0.2</v>
      </c>
      <c r="Q70">
        <v>25.578293772744399</v>
      </c>
      <c r="R70">
        <v>2267</v>
      </c>
      <c r="S70">
        <v>2002</v>
      </c>
      <c r="T70">
        <v>2059</v>
      </c>
      <c r="U70">
        <v>26.981203007518801</v>
      </c>
      <c r="V70">
        <v>2038</v>
      </c>
      <c r="W70">
        <v>3790</v>
      </c>
      <c r="X70">
        <v>1752</v>
      </c>
      <c r="Y70">
        <v>1.0147945250642E-2</v>
      </c>
      <c r="Z70">
        <v>1.6606193933554399E-2</v>
      </c>
      <c r="AA70">
        <v>7.1607093217951265E-2</v>
      </c>
      <c r="AB70">
        <v>2.7807876504294039E-2</v>
      </c>
    </row>
    <row r="71" spans="1:28" ht="34" x14ac:dyDescent="0.2">
      <c r="A71" s="13">
        <v>70</v>
      </c>
      <c r="B71" t="s">
        <v>300</v>
      </c>
      <c r="C71" s="11" t="s">
        <v>284</v>
      </c>
      <c r="D71">
        <v>0.59199999999999997</v>
      </c>
      <c r="E71" t="s">
        <v>282</v>
      </c>
      <c r="F71">
        <v>100</v>
      </c>
      <c r="G71">
        <v>53.5</v>
      </c>
      <c r="H71">
        <v>20885</v>
      </c>
      <c r="I71">
        <v>4120</v>
      </c>
      <c r="J71">
        <v>8995</v>
      </c>
      <c r="K71" s="12">
        <v>4.8749999999999998E-9</v>
      </c>
      <c r="L71">
        <v>20</v>
      </c>
      <c r="M71">
        <v>2</v>
      </c>
      <c r="N71" t="s">
        <v>120</v>
      </c>
      <c r="O71">
        <v>20</v>
      </c>
      <c r="P71">
        <v>0.2</v>
      </c>
      <c r="Q71">
        <v>53.398696361667902</v>
      </c>
      <c r="R71">
        <v>1711</v>
      </c>
      <c r="S71">
        <v>442</v>
      </c>
      <c r="T71">
        <v>1462</v>
      </c>
      <c r="U71">
        <v>4.6699248120300698</v>
      </c>
      <c r="V71">
        <v>454</v>
      </c>
      <c r="W71">
        <v>2274</v>
      </c>
      <c r="X71">
        <v>1820</v>
      </c>
      <c r="Y71">
        <v>0</v>
      </c>
      <c r="Z71">
        <v>0</v>
      </c>
      <c r="AA71">
        <v>-4.5766378220414246E-2</v>
      </c>
      <c r="AB71">
        <v>-4.4453195863673134E-2</v>
      </c>
    </row>
    <row r="72" spans="1:28" ht="34" x14ac:dyDescent="0.2">
      <c r="A72" s="13">
        <v>71</v>
      </c>
      <c r="B72" t="s">
        <v>301</v>
      </c>
      <c r="C72" s="11" t="s">
        <v>286</v>
      </c>
      <c r="D72">
        <v>0.316</v>
      </c>
      <c r="E72" t="s">
        <v>282</v>
      </c>
      <c r="F72">
        <v>100</v>
      </c>
      <c r="G72">
        <v>51.3</v>
      </c>
      <c r="H72">
        <v>20885</v>
      </c>
      <c r="I72">
        <v>4120</v>
      </c>
      <c r="J72">
        <v>8894</v>
      </c>
      <c r="K72" s="12">
        <v>4.7740000000000003E-9</v>
      </c>
      <c r="L72">
        <v>20</v>
      </c>
      <c r="M72">
        <v>2</v>
      </c>
      <c r="N72" t="s">
        <v>120</v>
      </c>
      <c r="O72">
        <v>20</v>
      </c>
      <c r="P72">
        <v>0.2</v>
      </c>
      <c r="Q72">
        <v>51.2089939599609</v>
      </c>
      <c r="R72">
        <v>1715</v>
      </c>
      <c r="S72">
        <v>523</v>
      </c>
      <c r="T72">
        <v>1467</v>
      </c>
      <c r="U72">
        <v>6.7842105263157899</v>
      </c>
      <c r="V72">
        <v>535</v>
      </c>
      <c r="W72">
        <v>2283</v>
      </c>
      <c r="X72">
        <v>1748</v>
      </c>
      <c r="Y72">
        <v>0</v>
      </c>
      <c r="Z72">
        <v>0</v>
      </c>
      <c r="AA72">
        <v>-2.5405318314640438E-2</v>
      </c>
      <c r="AB72">
        <v>-2.5872570807906482E-2</v>
      </c>
    </row>
    <row r="73" spans="1:28" ht="34" x14ac:dyDescent="0.2">
      <c r="A73" s="13">
        <v>72</v>
      </c>
      <c r="B73" t="s">
        <v>302</v>
      </c>
      <c r="C73" s="11" t="s">
        <v>288</v>
      </c>
      <c r="D73">
        <v>0.106</v>
      </c>
      <c r="E73" t="s">
        <v>282</v>
      </c>
      <c r="F73">
        <v>44.8</v>
      </c>
      <c r="G73">
        <v>21.9</v>
      </c>
      <c r="H73">
        <v>20885</v>
      </c>
      <c r="I73">
        <v>4120</v>
      </c>
      <c r="J73">
        <v>7243</v>
      </c>
      <c r="K73" s="12">
        <v>3.1230000000000001E-9</v>
      </c>
      <c r="L73">
        <v>20</v>
      </c>
      <c r="M73">
        <v>2</v>
      </c>
      <c r="N73" t="s">
        <v>120</v>
      </c>
      <c r="O73">
        <v>20</v>
      </c>
      <c r="P73">
        <v>0.2</v>
      </c>
      <c r="Q73">
        <v>21.914187994095599</v>
      </c>
      <c r="R73">
        <v>1707</v>
      </c>
      <c r="S73">
        <v>919</v>
      </c>
      <c r="T73">
        <v>1474</v>
      </c>
      <c r="U73">
        <v>8.6744360902255604</v>
      </c>
      <c r="V73">
        <v>935</v>
      </c>
      <c r="W73">
        <v>2422</v>
      </c>
      <c r="X73">
        <v>1487</v>
      </c>
      <c r="Y73">
        <v>0</v>
      </c>
      <c r="Z73">
        <v>0</v>
      </c>
      <c r="AA73">
        <v>2.8084160036780003E-2</v>
      </c>
      <c r="AB73">
        <v>2.1614963199441381E-2</v>
      </c>
    </row>
    <row r="74" spans="1:28" ht="34" x14ac:dyDescent="0.2">
      <c r="A74" s="13">
        <v>73</v>
      </c>
      <c r="B74" t="s">
        <v>303</v>
      </c>
      <c r="C74" s="11" t="s">
        <v>290</v>
      </c>
      <c r="D74">
        <v>2.8400000000000002E-2</v>
      </c>
      <c r="E74" t="s">
        <v>282</v>
      </c>
      <c r="F74">
        <v>100</v>
      </c>
      <c r="G74">
        <v>52.4</v>
      </c>
      <c r="H74">
        <v>20885</v>
      </c>
      <c r="I74">
        <v>4120</v>
      </c>
      <c r="J74">
        <v>8946</v>
      </c>
      <c r="K74" s="12">
        <v>4.8259999999999997E-9</v>
      </c>
      <c r="L74">
        <v>20</v>
      </c>
      <c r="M74">
        <v>2</v>
      </c>
      <c r="N74" t="s">
        <v>120</v>
      </c>
      <c r="O74">
        <v>20</v>
      </c>
      <c r="P74">
        <v>0.2</v>
      </c>
      <c r="Q74">
        <v>52.330640423024498</v>
      </c>
      <c r="R74">
        <v>1715</v>
      </c>
      <c r="S74">
        <v>858</v>
      </c>
      <c r="T74">
        <v>1475</v>
      </c>
      <c r="U74">
        <v>19.4233082706766</v>
      </c>
      <c r="V74">
        <v>955</v>
      </c>
      <c r="W74">
        <v>2942</v>
      </c>
      <c r="X74">
        <v>1987</v>
      </c>
      <c r="Y74">
        <v>0</v>
      </c>
      <c r="Z74">
        <v>0</v>
      </c>
      <c r="AA74">
        <v>1.7617799564270557E-2</v>
      </c>
      <c r="AB74">
        <v>7.2196546810505934E-3</v>
      </c>
    </row>
    <row r="75" spans="1:28" ht="34" x14ac:dyDescent="0.2">
      <c r="A75" s="13">
        <v>74</v>
      </c>
      <c r="B75" t="s">
        <v>304</v>
      </c>
      <c r="C75" s="11" t="s">
        <v>281</v>
      </c>
      <c r="D75">
        <v>1.7999999999999999E-2</v>
      </c>
      <c r="E75" t="s">
        <v>282</v>
      </c>
      <c r="F75">
        <v>50.5</v>
      </c>
      <c r="G75">
        <v>24.7</v>
      </c>
      <c r="H75">
        <v>20885</v>
      </c>
      <c r="I75">
        <v>3940</v>
      </c>
      <c r="J75">
        <v>7256</v>
      </c>
      <c r="K75" s="12">
        <v>3.3159999999999902E-9</v>
      </c>
      <c r="L75">
        <v>20</v>
      </c>
      <c r="M75">
        <v>2</v>
      </c>
      <c r="N75" t="s">
        <v>120</v>
      </c>
      <c r="O75">
        <v>20</v>
      </c>
      <c r="P75">
        <v>0.2</v>
      </c>
      <c r="Q75">
        <v>24.706456311610701</v>
      </c>
      <c r="R75">
        <v>1727</v>
      </c>
      <c r="S75">
        <v>1279</v>
      </c>
      <c r="T75">
        <v>1703</v>
      </c>
      <c r="U75">
        <v>26.658646616541301</v>
      </c>
      <c r="V75">
        <v>1318</v>
      </c>
      <c r="W75">
        <v>3331</v>
      </c>
      <c r="X75">
        <v>2013</v>
      </c>
      <c r="Y75">
        <v>0</v>
      </c>
      <c r="Z75">
        <v>0</v>
      </c>
      <c r="AA75">
        <v>3.2487030439702316E-2</v>
      </c>
      <c r="AB75">
        <v>1.8988012019244889E-2</v>
      </c>
    </row>
    <row r="76" spans="1:28" ht="34" x14ac:dyDescent="0.2">
      <c r="A76" s="13">
        <v>75</v>
      </c>
      <c r="B76" t="s">
        <v>305</v>
      </c>
      <c r="C76" s="11" t="s">
        <v>284</v>
      </c>
      <c r="D76">
        <v>0.59199999999999997</v>
      </c>
      <c r="E76" t="s">
        <v>282</v>
      </c>
      <c r="F76">
        <v>99.9</v>
      </c>
      <c r="G76">
        <v>53.3</v>
      </c>
      <c r="H76">
        <v>27780</v>
      </c>
      <c r="I76">
        <v>4160</v>
      </c>
      <c r="J76">
        <v>13895</v>
      </c>
      <c r="K76" s="12">
        <v>9.7350000000000008E-9</v>
      </c>
      <c r="L76">
        <v>20</v>
      </c>
      <c r="M76">
        <v>6</v>
      </c>
      <c r="N76" t="s">
        <v>203</v>
      </c>
      <c r="O76">
        <v>40</v>
      </c>
      <c r="P76">
        <v>0.4</v>
      </c>
      <c r="Q76">
        <v>53.234519068002101</v>
      </c>
      <c r="R76">
        <v>3263</v>
      </c>
      <c r="S76">
        <v>2894</v>
      </c>
      <c r="T76">
        <v>3247</v>
      </c>
      <c r="U76">
        <v>1.0075187969924799</v>
      </c>
      <c r="V76">
        <v>2898</v>
      </c>
      <c r="W76">
        <v>3027</v>
      </c>
      <c r="X76">
        <v>129</v>
      </c>
      <c r="Y76">
        <v>0.15064693739939999</v>
      </c>
      <c r="Z76">
        <v>0.15577995832581601</v>
      </c>
    </row>
    <row r="77" spans="1:28" ht="34" x14ac:dyDescent="0.2">
      <c r="A77" s="13">
        <v>76</v>
      </c>
      <c r="B77" t="s">
        <v>306</v>
      </c>
      <c r="C77" s="11" t="s">
        <v>286</v>
      </c>
      <c r="D77">
        <v>0.316</v>
      </c>
      <c r="E77" t="s">
        <v>282</v>
      </c>
      <c r="F77">
        <v>99.9</v>
      </c>
      <c r="G77">
        <v>40.799999999999997</v>
      </c>
      <c r="H77">
        <v>27780</v>
      </c>
      <c r="I77">
        <v>4140</v>
      </c>
      <c r="J77">
        <v>12652</v>
      </c>
      <c r="K77" s="12">
        <v>8.5120000000000004E-9</v>
      </c>
      <c r="L77">
        <v>20</v>
      </c>
      <c r="M77">
        <v>6</v>
      </c>
      <c r="N77" t="s">
        <v>203</v>
      </c>
      <c r="O77">
        <v>40</v>
      </c>
      <c r="P77">
        <v>0.4</v>
      </c>
      <c r="Q77">
        <v>40.699085713089403</v>
      </c>
      <c r="R77">
        <v>2907</v>
      </c>
      <c r="S77">
        <v>2642</v>
      </c>
      <c r="T77">
        <v>2898</v>
      </c>
      <c r="U77">
        <v>2.9977443609022498</v>
      </c>
      <c r="V77">
        <v>2651</v>
      </c>
      <c r="W77">
        <v>3295</v>
      </c>
      <c r="X77">
        <v>644</v>
      </c>
      <c r="Y77">
        <v>5.9892974174782801E-2</v>
      </c>
      <c r="Z77">
        <v>6.3465376824286102E-2</v>
      </c>
    </row>
    <row r="78" spans="1:28" ht="34" x14ac:dyDescent="0.2">
      <c r="A78" s="13">
        <v>77</v>
      </c>
      <c r="B78" t="s">
        <v>307</v>
      </c>
      <c r="C78" s="11" t="s">
        <v>288</v>
      </c>
      <c r="D78">
        <v>0.106</v>
      </c>
      <c r="E78" t="s">
        <v>282</v>
      </c>
      <c r="F78">
        <v>41.9</v>
      </c>
      <c r="G78">
        <v>18.5</v>
      </c>
      <c r="H78">
        <v>27780</v>
      </c>
      <c r="I78">
        <v>4160</v>
      </c>
      <c r="J78">
        <v>9900</v>
      </c>
      <c r="K78" s="12">
        <v>5.7399999999999996E-9</v>
      </c>
      <c r="L78">
        <v>20</v>
      </c>
      <c r="M78">
        <v>6</v>
      </c>
      <c r="N78" t="s">
        <v>203</v>
      </c>
      <c r="O78">
        <v>40</v>
      </c>
      <c r="P78">
        <v>0.4</v>
      </c>
      <c r="Q78">
        <v>18.5073913293432</v>
      </c>
      <c r="R78">
        <v>2374</v>
      </c>
      <c r="S78">
        <v>2178</v>
      </c>
      <c r="T78">
        <v>2350</v>
      </c>
      <c r="U78">
        <v>4.5323308270676597</v>
      </c>
      <c r="V78">
        <v>2251</v>
      </c>
      <c r="W78">
        <v>3487</v>
      </c>
      <c r="X78">
        <v>1236</v>
      </c>
      <c r="Y78">
        <v>1.7111445814732701E-2</v>
      </c>
      <c r="Z78">
        <v>1.85532657603515E-2</v>
      </c>
    </row>
    <row r="79" spans="1:28" ht="34" x14ac:dyDescent="0.2">
      <c r="A79" s="13">
        <v>78</v>
      </c>
      <c r="B79" t="s">
        <v>308</v>
      </c>
      <c r="C79" s="11" t="s">
        <v>290</v>
      </c>
      <c r="D79">
        <v>2.8400000000000002E-2</v>
      </c>
      <c r="E79" t="s">
        <v>282</v>
      </c>
      <c r="F79">
        <v>98.1</v>
      </c>
      <c r="G79">
        <v>39.799999999999997</v>
      </c>
      <c r="H79">
        <v>27780</v>
      </c>
      <c r="I79">
        <v>4180</v>
      </c>
      <c r="J79">
        <v>12589</v>
      </c>
      <c r="K79" s="12">
        <v>8.4089999999999994E-9</v>
      </c>
      <c r="L79">
        <v>20</v>
      </c>
      <c r="M79">
        <v>6</v>
      </c>
      <c r="N79" t="s">
        <v>203</v>
      </c>
      <c r="O79">
        <v>40</v>
      </c>
      <c r="P79">
        <v>0.4</v>
      </c>
      <c r="Q79">
        <v>39.720081246165201</v>
      </c>
      <c r="R79">
        <v>1914</v>
      </c>
      <c r="S79">
        <v>1706</v>
      </c>
      <c r="T79">
        <v>1894</v>
      </c>
      <c r="U79">
        <v>14.9255639097744</v>
      </c>
      <c r="V79">
        <v>1839</v>
      </c>
      <c r="W79">
        <v>3598</v>
      </c>
      <c r="X79">
        <v>1759</v>
      </c>
      <c r="Y79">
        <v>1.859792902195E-3</v>
      </c>
      <c r="Z79">
        <v>3.4670314871937001E-3</v>
      </c>
    </row>
    <row r="80" spans="1:28" ht="34" x14ac:dyDescent="0.2">
      <c r="A80" s="13">
        <v>79</v>
      </c>
      <c r="B80" t="s">
        <v>309</v>
      </c>
      <c r="C80" s="11" t="s">
        <v>281</v>
      </c>
      <c r="D80">
        <v>1.7999999999999999E-2</v>
      </c>
      <c r="E80" t="s">
        <v>282</v>
      </c>
      <c r="F80">
        <v>42.8</v>
      </c>
      <c r="G80">
        <v>18.899999999999999</v>
      </c>
      <c r="H80">
        <v>27780</v>
      </c>
      <c r="I80">
        <v>4160</v>
      </c>
      <c r="J80">
        <v>9962</v>
      </c>
      <c r="K80" s="12">
        <v>5.8019999999999996E-9</v>
      </c>
      <c r="L80">
        <v>20</v>
      </c>
      <c r="M80">
        <v>6</v>
      </c>
      <c r="N80" t="s">
        <v>203</v>
      </c>
      <c r="O80">
        <v>40</v>
      </c>
      <c r="P80">
        <v>0.4</v>
      </c>
      <c r="Q80">
        <v>18.909361829921199</v>
      </c>
      <c r="R80">
        <v>1814</v>
      </c>
      <c r="S80">
        <v>1622</v>
      </c>
      <c r="T80">
        <v>1786</v>
      </c>
      <c r="U80">
        <v>17.860150375939799</v>
      </c>
      <c r="V80">
        <v>2095</v>
      </c>
      <c r="W80">
        <v>3527</v>
      </c>
      <c r="X80">
        <v>1432</v>
      </c>
      <c r="Y80">
        <v>1.09774401609086E-2</v>
      </c>
      <c r="Z80">
        <v>6.1215185256271003E-3</v>
      </c>
    </row>
    <row r="81" spans="1:26" ht="34" x14ac:dyDescent="0.2">
      <c r="A81" s="13">
        <v>80</v>
      </c>
      <c r="B81" t="s">
        <v>310</v>
      </c>
      <c r="C81" s="11" t="s">
        <v>288</v>
      </c>
      <c r="D81">
        <v>0.106</v>
      </c>
      <c r="E81" t="s">
        <v>282</v>
      </c>
      <c r="F81">
        <v>-1</v>
      </c>
      <c r="G81">
        <v>80.3</v>
      </c>
      <c r="H81">
        <v>27120</v>
      </c>
      <c r="I81">
        <v>4160</v>
      </c>
      <c r="J81">
        <v>10882</v>
      </c>
      <c r="K81" s="12">
        <v>6.7219999999999997E-9</v>
      </c>
      <c r="L81">
        <v>20</v>
      </c>
      <c r="M81">
        <v>5</v>
      </c>
      <c r="N81" t="s">
        <v>69</v>
      </c>
      <c r="O81">
        <v>40</v>
      </c>
      <c r="P81">
        <v>0.4</v>
      </c>
      <c r="Q81">
        <v>25.381567498558599</v>
      </c>
      <c r="R81">
        <v>3495</v>
      </c>
      <c r="S81">
        <v>2563</v>
      </c>
      <c r="T81">
        <v>3478</v>
      </c>
      <c r="U81">
        <v>0.557894736842105</v>
      </c>
      <c r="V81">
        <v>2566</v>
      </c>
      <c r="W81">
        <v>2663</v>
      </c>
      <c r="X81">
        <v>97</v>
      </c>
      <c r="Y81">
        <v>0.109484261520474</v>
      </c>
      <c r="Z81">
        <v>0.11736320489541301</v>
      </c>
    </row>
    <row r="82" spans="1:26" ht="34" x14ac:dyDescent="0.2">
      <c r="A82" s="13">
        <v>81</v>
      </c>
      <c r="B82" t="s">
        <v>311</v>
      </c>
      <c r="C82" s="11" t="s">
        <v>290</v>
      </c>
      <c r="D82">
        <v>2.8400000000000002E-2</v>
      </c>
      <c r="E82" t="s">
        <v>282</v>
      </c>
      <c r="F82">
        <v>100</v>
      </c>
      <c r="G82">
        <v>80.3</v>
      </c>
      <c r="H82">
        <v>27120</v>
      </c>
      <c r="I82">
        <v>4180</v>
      </c>
      <c r="J82">
        <v>16130</v>
      </c>
      <c r="K82" s="12">
        <v>1.1949999999999999E-8</v>
      </c>
      <c r="L82">
        <v>20</v>
      </c>
      <c r="M82">
        <v>5</v>
      </c>
      <c r="N82" t="s">
        <v>69</v>
      </c>
      <c r="O82">
        <v>40</v>
      </c>
      <c r="P82">
        <v>0.4</v>
      </c>
      <c r="Q82">
        <v>80.215304007227701</v>
      </c>
      <c r="R82">
        <v>2842</v>
      </c>
      <c r="S82">
        <v>2042</v>
      </c>
      <c r="T82">
        <v>2827</v>
      </c>
      <c r="U82">
        <v>12.9308270676691</v>
      </c>
      <c r="V82">
        <v>2087</v>
      </c>
      <c r="W82">
        <v>3299</v>
      </c>
      <c r="X82">
        <v>1212</v>
      </c>
      <c r="Y82">
        <v>3.2294005279740898E-2</v>
      </c>
      <c r="Z82">
        <v>4.6293698514244697E-2</v>
      </c>
    </row>
    <row r="83" spans="1:26" ht="34" x14ac:dyDescent="0.2">
      <c r="A83" s="13">
        <v>82</v>
      </c>
      <c r="B83" t="s">
        <v>312</v>
      </c>
      <c r="C83" s="11" t="s">
        <v>281</v>
      </c>
      <c r="D83">
        <v>1.7999999999999999E-2</v>
      </c>
      <c r="E83" t="s">
        <v>282</v>
      </c>
      <c r="F83">
        <v>38</v>
      </c>
      <c r="G83">
        <v>24</v>
      </c>
      <c r="H83">
        <v>27120</v>
      </c>
      <c r="I83">
        <v>4160</v>
      </c>
      <c r="J83">
        <v>10696</v>
      </c>
      <c r="K83" s="12">
        <v>6.5359999999999998E-9</v>
      </c>
      <c r="L83">
        <v>20</v>
      </c>
      <c r="M83">
        <v>5</v>
      </c>
      <c r="N83" t="s">
        <v>69</v>
      </c>
      <c r="O83">
        <v>40</v>
      </c>
      <c r="P83">
        <v>0.4</v>
      </c>
      <c r="Q83">
        <v>23.996367819994301</v>
      </c>
      <c r="R83">
        <v>2519</v>
      </c>
      <c r="S83">
        <v>2370</v>
      </c>
      <c r="T83">
        <v>2494</v>
      </c>
      <c r="U83">
        <v>14.5368421052631</v>
      </c>
      <c r="V83">
        <v>2402</v>
      </c>
      <c r="W83">
        <v>3623</v>
      </c>
      <c r="X83">
        <v>1221</v>
      </c>
      <c r="Y83">
        <v>2.1991461886030499E-2</v>
      </c>
      <c r="Z83">
        <v>2.34670448971325E-2</v>
      </c>
    </row>
    <row r="84" spans="1:26" ht="34" x14ac:dyDescent="0.2">
      <c r="A84" s="13">
        <v>83</v>
      </c>
      <c r="B84" t="s">
        <v>313</v>
      </c>
      <c r="C84" s="11" t="s">
        <v>281</v>
      </c>
      <c r="D84">
        <v>1.7999999999999999E-2</v>
      </c>
      <c r="E84" t="s">
        <v>282</v>
      </c>
      <c r="F84">
        <v>0</v>
      </c>
      <c r="G84">
        <v>0.5</v>
      </c>
      <c r="H84">
        <v>22500</v>
      </c>
      <c r="I84">
        <v>4071</v>
      </c>
      <c r="J84">
        <v>6413</v>
      </c>
      <c r="K84" s="12">
        <v>2.342E-9</v>
      </c>
      <c r="L84">
        <v>20</v>
      </c>
      <c r="M84">
        <v>5</v>
      </c>
      <c r="N84" t="s">
        <v>69</v>
      </c>
      <c r="O84">
        <v>8</v>
      </c>
      <c r="P84">
        <v>0.08</v>
      </c>
      <c r="Q84">
        <v>77.025621877890799</v>
      </c>
      <c r="R84">
        <v>3339</v>
      </c>
      <c r="S84">
        <v>2631</v>
      </c>
      <c r="T84">
        <v>3267</v>
      </c>
      <c r="U84">
        <v>16.477443609022501</v>
      </c>
      <c r="V84">
        <v>2638</v>
      </c>
      <c r="W84">
        <v>4095</v>
      </c>
      <c r="X84">
        <v>1457</v>
      </c>
      <c r="Y84">
        <v>0.17283870319557301</v>
      </c>
      <c r="Z84">
        <v>0.22832411971890601</v>
      </c>
    </row>
    <row r="85" spans="1:26" ht="34" x14ac:dyDescent="0.2">
      <c r="A85" s="13">
        <v>84</v>
      </c>
      <c r="B85" t="s">
        <v>314</v>
      </c>
      <c r="C85" s="11" t="s">
        <v>286</v>
      </c>
      <c r="D85">
        <v>0.316</v>
      </c>
      <c r="E85" t="s">
        <v>282</v>
      </c>
      <c r="F85">
        <v>0</v>
      </c>
      <c r="G85">
        <v>0.1</v>
      </c>
      <c r="H85">
        <v>22500</v>
      </c>
      <c r="I85">
        <v>4038</v>
      </c>
      <c r="J85">
        <v>7226</v>
      </c>
      <c r="K85" s="12">
        <v>3.1879999999999898E-9</v>
      </c>
      <c r="L85">
        <v>20</v>
      </c>
      <c r="M85">
        <v>6</v>
      </c>
      <c r="N85" t="s">
        <v>203</v>
      </c>
      <c r="O85">
        <v>8</v>
      </c>
      <c r="P85">
        <v>0.08</v>
      </c>
      <c r="Q85">
        <v>142.72434458255799</v>
      </c>
      <c r="R85">
        <v>3370</v>
      </c>
      <c r="S85">
        <v>2154</v>
      </c>
      <c r="T85">
        <v>3243</v>
      </c>
      <c r="U85">
        <v>6.9721804511278203</v>
      </c>
      <c r="V85">
        <v>2174</v>
      </c>
      <c r="W85">
        <v>3698</v>
      </c>
      <c r="X85">
        <v>1524</v>
      </c>
      <c r="Y85">
        <v>0.14078558461200699</v>
      </c>
      <c r="Z85">
        <v>0.26115839704469002</v>
      </c>
    </row>
    <row r="86" spans="1:26" ht="34" x14ac:dyDescent="0.2">
      <c r="A86" s="13">
        <v>85</v>
      </c>
      <c r="B86" t="s">
        <v>315</v>
      </c>
      <c r="C86" s="11" t="s">
        <v>288</v>
      </c>
      <c r="D86">
        <v>0.106</v>
      </c>
      <c r="E86" t="s">
        <v>282</v>
      </c>
      <c r="F86">
        <v>99.9</v>
      </c>
      <c r="G86">
        <v>74</v>
      </c>
      <c r="H86">
        <v>22500</v>
      </c>
      <c r="I86">
        <v>4100</v>
      </c>
      <c r="J86">
        <v>6394</v>
      </c>
      <c r="K86" s="12">
        <v>2.2939999999999898E-9</v>
      </c>
      <c r="L86">
        <v>20</v>
      </c>
      <c r="M86">
        <v>6</v>
      </c>
      <c r="N86" t="s">
        <v>203</v>
      </c>
      <c r="O86">
        <v>8</v>
      </c>
      <c r="P86">
        <v>0.08</v>
      </c>
      <c r="Q86">
        <v>73.9006501214228</v>
      </c>
      <c r="R86">
        <v>3315</v>
      </c>
      <c r="S86">
        <v>2551</v>
      </c>
      <c r="T86">
        <v>3290</v>
      </c>
      <c r="U86">
        <v>8.6932330827067599</v>
      </c>
      <c r="V86">
        <v>2555</v>
      </c>
      <c r="W86">
        <v>3999</v>
      </c>
      <c r="X86">
        <v>1444</v>
      </c>
      <c r="Y86">
        <v>0.16273530921908499</v>
      </c>
      <c r="Z86">
        <v>0.22160077072067699</v>
      </c>
    </row>
    <row r="87" spans="1:26" ht="34" x14ac:dyDescent="0.2">
      <c r="A87" s="13">
        <v>86</v>
      </c>
      <c r="B87" t="s">
        <v>316</v>
      </c>
      <c r="C87" s="11" t="s">
        <v>290</v>
      </c>
      <c r="D87">
        <v>2.8400000000000002E-2</v>
      </c>
      <c r="E87" t="s">
        <v>282</v>
      </c>
      <c r="F87">
        <v>0</v>
      </c>
      <c r="G87">
        <v>0</v>
      </c>
      <c r="H87">
        <v>22500</v>
      </c>
      <c r="I87">
        <v>4056</v>
      </c>
      <c r="J87">
        <v>7061</v>
      </c>
      <c r="K87" s="12">
        <v>3.0049999999999999E-9</v>
      </c>
      <c r="L87">
        <v>20</v>
      </c>
      <c r="M87">
        <v>6</v>
      </c>
      <c r="N87" t="s">
        <v>203</v>
      </c>
      <c r="O87">
        <v>8</v>
      </c>
      <c r="P87">
        <v>0.08</v>
      </c>
      <c r="Q87">
        <v>126.809089576139</v>
      </c>
      <c r="R87">
        <v>3283</v>
      </c>
      <c r="S87">
        <v>2442</v>
      </c>
      <c r="T87">
        <v>3322</v>
      </c>
      <c r="U87">
        <v>13.909774436090199</v>
      </c>
      <c r="V87">
        <v>2470</v>
      </c>
      <c r="W87">
        <v>4095</v>
      </c>
      <c r="X87">
        <v>1625</v>
      </c>
      <c r="Y87">
        <v>0.15641845493041701</v>
      </c>
      <c r="Z87">
        <v>0.23907247254069899</v>
      </c>
    </row>
    <row r="88" spans="1:26" ht="34" x14ac:dyDescent="0.2">
      <c r="A88" s="13">
        <v>87</v>
      </c>
      <c r="B88" t="s">
        <v>317</v>
      </c>
      <c r="C88" s="11" t="s">
        <v>281</v>
      </c>
      <c r="D88">
        <v>1.7999999999999999E-2</v>
      </c>
      <c r="E88" t="s">
        <v>282</v>
      </c>
      <c r="F88">
        <v>0</v>
      </c>
      <c r="G88">
        <v>0.5</v>
      </c>
      <c r="H88">
        <v>22500</v>
      </c>
      <c r="I88">
        <v>4178</v>
      </c>
      <c r="J88">
        <v>6413</v>
      </c>
      <c r="K88" s="12">
        <v>2.2349999999999998E-9</v>
      </c>
      <c r="L88">
        <v>20</v>
      </c>
      <c r="M88">
        <v>6</v>
      </c>
      <c r="N88" t="s">
        <v>203</v>
      </c>
      <c r="O88">
        <v>8</v>
      </c>
      <c r="P88">
        <v>0.08</v>
      </c>
      <c r="Q88">
        <v>70.148192776650305</v>
      </c>
      <c r="R88">
        <v>3291</v>
      </c>
      <c r="S88">
        <v>2758</v>
      </c>
      <c r="T88">
        <v>3466</v>
      </c>
      <c r="U88">
        <v>17.542105263157801</v>
      </c>
      <c r="V88">
        <v>2786</v>
      </c>
      <c r="W88">
        <v>4095</v>
      </c>
      <c r="X88">
        <v>1309</v>
      </c>
      <c r="Y88">
        <v>0.20987069197019001</v>
      </c>
      <c r="Z88">
        <v>0.249535283166545</v>
      </c>
    </row>
    <row r="89" spans="1:26" ht="34" x14ac:dyDescent="0.2">
      <c r="A89" s="13">
        <v>88</v>
      </c>
      <c r="B89" t="s">
        <v>318</v>
      </c>
      <c r="C89" s="11" t="s">
        <v>284</v>
      </c>
      <c r="D89">
        <v>0.59199999999999997</v>
      </c>
      <c r="E89" t="s">
        <v>282</v>
      </c>
      <c r="F89">
        <v>99.9</v>
      </c>
      <c r="G89">
        <v>66.599999999999994</v>
      </c>
      <c r="H89">
        <v>22500</v>
      </c>
      <c r="I89">
        <v>4070</v>
      </c>
      <c r="J89">
        <v>10002</v>
      </c>
      <c r="K89" s="12">
        <v>5.9319999999999998E-9</v>
      </c>
      <c r="L89">
        <v>20</v>
      </c>
      <c r="M89">
        <v>6</v>
      </c>
      <c r="N89" t="s">
        <v>203</v>
      </c>
      <c r="O89">
        <v>20</v>
      </c>
      <c r="P89">
        <v>0.2</v>
      </c>
      <c r="Q89">
        <v>79.064895131556696</v>
      </c>
      <c r="R89">
        <v>3447</v>
      </c>
      <c r="S89">
        <v>1895</v>
      </c>
      <c r="T89">
        <v>3258</v>
      </c>
      <c r="U89">
        <v>3.3736842105263101</v>
      </c>
      <c r="V89">
        <v>1902</v>
      </c>
      <c r="W89">
        <v>2999</v>
      </c>
      <c r="X89">
        <v>1097</v>
      </c>
      <c r="Y89">
        <v>6.4933918118373193E-2</v>
      </c>
      <c r="Z89">
        <v>0.108630010734206</v>
      </c>
    </row>
    <row r="90" spans="1:26" ht="34" x14ac:dyDescent="0.2">
      <c r="A90" s="13">
        <v>89</v>
      </c>
      <c r="B90" t="s">
        <v>319</v>
      </c>
      <c r="C90" s="11" t="s">
        <v>286</v>
      </c>
      <c r="D90">
        <v>0.316</v>
      </c>
      <c r="E90" t="s">
        <v>282</v>
      </c>
      <c r="F90">
        <v>99.9</v>
      </c>
      <c r="G90">
        <v>76.2</v>
      </c>
      <c r="H90">
        <v>22500</v>
      </c>
      <c r="I90">
        <v>4120</v>
      </c>
      <c r="J90">
        <v>9938</v>
      </c>
      <c r="K90" s="12">
        <v>5.8179999999999896E-9</v>
      </c>
      <c r="L90">
        <v>20</v>
      </c>
      <c r="M90">
        <v>6</v>
      </c>
      <c r="N90" t="s">
        <v>203</v>
      </c>
      <c r="O90">
        <v>20</v>
      </c>
      <c r="P90">
        <v>0.2</v>
      </c>
      <c r="Q90">
        <v>76.055188726761699</v>
      </c>
      <c r="R90">
        <v>3323</v>
      </c>
      <c r="S90">
        <v>1994</v>
      </c>
      <c r="T90">
        <v>3307</v>
      </c>
      <c r="U90">
        <v>3.77443609022556</v>
      </c>
      <c r="V90">
        <v>2002</v>
      </c>
      <c r="W90">
        <v>3187</v>
      </c>
      <c r="X90">
        <v>1185</v>
      </c>
      <c r="Y90">
        <v>6.0686131314709797E-2</v>
      </c>
      <c r="Z90">
        <v>9.9419897243441704E-2</v>
      </c>
    </row>
    <row r="91" spans="1:26" ht="34" x14ac:dyDescent="0.2">
      <c r="A91" s="13">
        <v>90</v>
      </c>
      <c r="B91" t="s">
        <v>320</v>
      </c>
      <c r="C91" s="11" t="s">
        <v>288</v>
      </c>
      <c r="D91">
        <v>0.106</v>
      </c>
      <c r="E91" t="s">
        <v>282</v>
      </c>
      <c r="F91">
        <v>89.4</v>
      </c>
      <c r="G91">
        <v>37.200000000000003</v>
      </c>
      <c r="H91">
        <v>22500</v>
      </c>
      <c r="I91">
        <v>4100</v>
      </c>
      <c r="J91">
        <v>8167</v>
      </c>
      <c r="K91" s="12">
        <v>4.0669999999999902E-9</v>
      </c>
      <c r="L91">
        <v>20</v>
      </c>
      <c r="M91">
        <v>6</v>
      </c>
      <c r="N91" t="s">
        <v>203</v>
      </c>
      <c r="O91">
        <v>20</v>
      </c>
      <c r="P91">
        <v>0.2</v>
      </c>
      <c r="Q91">
        <v>37.164625368973397</v>
      </c>
      <c r="R91">
        <v>3219</v>
      </c>
      <c r="S91">
        <v>2299</v>
      </c>
      <c r="T91">
        <v>3291</v>
      </c>
      <c r="U91">
        <v>5.7037593984962403</v>
      </c>
      <c r="V91">
        <v>2311</v>
      </c>
      <c r="W91">
        <v>3431</v>
      </c>
      <c r="X91">
        <v>1120</v>
      </c>
      <c r="Y91">
        <v>5.8596738148371998E-2</v>
      </c>
      <c r="Z91">
        <v>7.8697634564089305E-2</v>
      </c>
    </row>
    <row r="92" spans="1:26" ht="34" x14ac:dyDescent="0.2">
      <c r="A92" s="13">
        <v>91</v>
      </c>
      <c r="B92" t="s">
        <v>321</v>
      </c>
      <c r="C92" s="11" t="s">
        <v>290</v>
      </c>
      <c r="D92">
        <v>2.8400000000000002E-2</v>
      </c>
      <c r="E92" t="s">
        <v>282</v>
      </c>
      <c r="F92">
        <v>99.9</v>
      </c>
      <c r="G92">
        <v>78.2</v>
      </c>
      <c r="H92">
        <v>22500</v>
      </c>
      <c r="I92">
        <v>4100</v>
      </c>
      <c r="J92">
        <v>9996</v>
      </c>
      <c r="K92" s="12">
        <v>5.8960000000000003E-9</v>
      </c>
      <c r="L92">
        <v>20</v>
      </c>
      <c r="M92">
        <v>6</v>
      </c>
      <c r="N92" t="s">
        <v>203</v>
      </c>
      <c r="O92">
        <v>20</v>
      </c>
      <c r="P92">
        <v>0.2</v>
      </c>
      <c r="Q92">
        <v>78.108152268687704</v>
      </c>
      <c r="R92">
        <v>3147</v>
      </c>
      <c r="S92">
        <v>2394</v>
      </c>
      <c r="T92">
        <v>3362</v>
      </c>
      <c r="U92">
        <v>11.9586466165413</v>
      </c>
      <c r="V92">
        <v>2430</v>
      </c>
      <c r="W92">
        <v>4031</v>
      </c>
      <c r="X92">
        <v>1601</v>
      </c>
      <c r="Y92">
        <v>4.8934706137810799E-2</v>
      </c>
      <c r="Z92">
        <v>7.3005889269378593E-2</v>
      </c>
    </row>
    <row r="93" spans="1:26" ht="34" x14ac:dyDescent="0.2">
      <c r="A93" s="13">
        <v>92</v>
      </c>
      <c r="B93" t="s">
        <v>322</v>
      </c>
      <c r="C93" s="11" t="s">
        <v>281</v>
      </c>
      <c r="D93">
        <v>1.7999999999999999E-2</v>
      </c>
      <c r="E93" t="s">
        <v>282</v>
      </c>
      <c r="F93">
        <v>94.1</v>
      </c>
      <c r="G93">
        <v>38.6</v>
      </c>
      <c r="H93">
        <v>22500</v>
      </c>
      <c r="I93">
        <v>4100</v>
      </c>
      <c r="J93">
        <v>8242</v>
      </c>
      <c r="K93" s="12">
        <v>4.142E-9</v>
      </c>
      <c r="L93">
        <v>20</v>
      </c>
      <c r="M93">
        <v>6</v>
      </c>
      <c r="N93" t="s">
        <v>203</v>
      </c>
      <c r="O93">
        <v>20</v>
      </c>
      <c r="P93">
        <v>0.2</v>
      </c>
      <c r="Q93">
        <v>38.547978105645299</v>
      </c>
      <c r="R93">
        <v>3166</v>
      </c>
      <c r="S93">
        <v>2666</v>
      </c>
      <c r="T93">
        <v>3346</v>
      </c>
      <c r="U93">
        <v>16.006766917293199</v>
      </c>
      <c r="V93">
        <v>2715</v>
      </c>
      <c r="W93">
        <v>4095</v>
      </c>
      <c r="X93">
        <v>1380</v>
      </c>
      <c r="Y93">
        <v>5.5752136428825899E-2</v>
      </c>
      <c r="Z93">
        <v>6.6724137741217798E-2</v>
      </c>
    </row>
    <row r="94" spans="1:26" ht="34" x14ac:dyDescent="0.2">
      <c r="A94" s="13">
        <v>93</v>
      </c>
      <c r="B94" t="s">
        <v>323</v>
      </c>
      <c r="C94" s="11" t="s">
        <v>182</v>
      </c>
      <c r="D94">
        <v>0.42499999999999999</v>
      </c>
      <c r="E94" t="s">
        <v>324</v>
      </c>
      <c r="F94">
        <v>99.9</v>
      </c>
      <c r="G94">
        <v>60.9</v>
      </c>
      <c r="H94">
        <v>27780</v>
      </c>
      <c r="I94">
        <v>2180</v>
      </c>
      <c r="J94">
        <v>7382</v>
      </c>
      <c r="K94" s="12">
        <v>5.202E-9</v>
      </c>
      <c r="L94">
        <v>20</v>
      </c>
      <c r="M94">
        <v>6</v>
      </c>
      <c r="N94" t="s">
        <v>203</v>
      </c>
      <c r="O94">
        <v>20</v>
      </c>
      <c r="P94">
        <v>0.2</v>
      </c>
      <c r="Q94">
        <v>60.802594339454899</v>
      </c>
      <c r="R94">
        <v>3487</v>
      </c>
      <c r="S94">
        <v>1942</v>
      </c>
      <c r="T94">
        <v>3358</v>
      </c>
      <c r="U94">
        <v>3.3766917293233001</v>
      </c>
      <c r="V94">
        <v>1955</v>
      </c>
      <c r="W94">
        <v>3151</v>
      </c>
      <c r="X94">
        <v>1196</v>
      </c>
      <c r="Y94">
        <v>5.0846607194028302E-2</v>
      </c>
      <c r="Z94">
        <v>8.8529733112030301E-2</v>
      </c>
    </row>
    <row r="95" spans="1:26" ht="34" x14ac:dyDescent="0.2">
      <c r="A95" s="13">
        <v>94</v>
      </c>
      <c r="B95" t="s">
        <v>325</v>
      </c>
      <c r="C95" s="11" t="s">
        <v>184</v>
      </c>
      <c r="D95">
        <v>0.437</v>
      </c>
      <c r="E95" t="s">
        <v>324</v>
      </c>
      <c r="F95">
        <v>99.9</v>
      </c>
      <c r="G95">
        <v>62.1</v>
      </c>
      <c r="H95">
        <v>27780</v>
      </c>
      <c r="I95">
        <v>1330</v>
      </c>
      <c r="J95">
        <v>7434</v>
      </c>
      <c r="K95" s="12">
        <v>6.1039999999999996E-9</v>
      </c>
      <c r="L95">
        <v>20</v>
      </c>
      <c r="M95">
        <v>6</v>
      </c>
      <c r="N95" t="s">
        <v>203</v>
      </c>
      <c r="O95">
        <v>20</v>
      </c>
      <c r="P95">
        <v>0.2</v>
      </c>
      <c r="Q95">
        <v>83.716384584005397</v>
      </c>
      <c r="R95">
        <v>3486</v>
      </c>
      <c r="S95">
        <v>1938</v>
      </c>
      <c r="T95">
        <v>3338</v>
      </c>
      <c r="U95">
        <v>3.3887218045112699</v>
      </c>
      <c r="V95">
        <v>1951</v>
      </c>
      <c r="W95">
        <v>3147</v>
      </c>
      <c r="X95">
        <v>1196</v>
      </c>
      <c r="Y95">
        <v>5.9414477586291502E-2</v>
      </c>
      <c r="Z95">
        <v>0.103714858700468</v>
      </c>
    </row>
    <row r="96" spans="1:26" ht="34" x14ac:dyDescent="0.2">
      <c r="A96" s="13">
        <v>95</v>
      </c>
      <c r="B96" t="s">
        <v>326</v>
      </c>
      <c r="C96" s="11" t="s">
        <v>167</v>
      </c>
      <c r="D96">
        <v>0.41399999999999998</v>
      </c>
      <c r="E96" t="s">
        <v>324</v>
      </c>
      <c r="F96">
        <v>99.9</v>
      </c>
      <c r="G96">
        <v>57.2</v>
      </c>
      <c r="H96">
        <v>27780</v>
      </c>
      <c r="I96">
        <v>1330</v>
      </c>
      <c r="J96">
        <v>7224</v>
      </c>
      <c r="K96" s="12">
        <v>5.8939999999999997E-9</v>
      </c>
      <c r="L96">
        <v>20</v>
      </c>
      <c r="M96">
        <v>6</v>
      </c>
      <c r="N96" t="s">
        <v>203</v>
      </c>
      <c r="O96">
        <v>20</v>
      </c>
      <c r="P96">
        <v>0.2</v>
      </c>
      <c r="Q96">
        <v>78.055170650901204</v>
      </c>
      <c r="R96">
        <v>3486</v>
      </c>
      <c r="S96">
        <v>1947</v>
      </c>
      <c r="T96">
        <v>3335</v>
      </c>
      <c r="U96">
        <v>3.3751879699248102</v>
      </c>
      <c r="V96">
        <v>1954</v>
      </c>
      <c r="W96">
        <v>3162</v>
      </c>
      <c r="X96">
        <v>1208</v>
      </c>
      <c r="Y96">
        <v>5.6380117036150201E-2</v>
      </c>
      <c r="Z96">
        <v>9.9086334302522894E-2</v>
      </c>
    </row>
    <row r="97" spans="1:28" ht="34" x14ac:dyDescent="0.2">
      <c r="A97" s="13">
        <v>96</v>
      </c>
      <c r="B97" t="s">
        <v>327</v>
      </c>
      <c r="C97" s="11" t="s">
        <v>165</v>
      </c>
      <c r="D97">
        <v>0.15679999999999999</v>
      </c>
      <c r="E97" t="s">
        <v>324</v>
      </c>
      <c r="F97">
        <v>99.9</v>
      </c>
      <c r="G97">
        <v>71.2</v>
      </c>
      <c r="H97">
        <v>27780</v>
      </c>
      <c r="I97">
        <v>1365</v>
      </c>
      <c r="J97">
        <v>7525</v>
      </c>
      <c r="K97" s="12">
        <v>6.1599999999999903E-9</v>
      </c>
      <c r="L97">
        <v>20</v>
      </c>
      <c r="M97">
        <v>6</v>
      </c>
      <c r="N97" t="s">
        <v>203</v>
      </c>
      <c r="O97">
        <v>20</v>
      </c>
      <c r="P97">
        <v>0.2</v>
      </c>
      <c r="Q97">
        <v>85.259511275689405</v>
      </c>
      <c r="R97">
        <v>3459</v>
      </c>
      <c r="S97">
        <v>2150</v>
      </c>
      <c r="T97">
        <v>3263</v>
      </c>
      <c r="U97">
        <v>6.6804511278195404</v>
      </c>
      <c r="V97">
        <v>2190</v>
      </c>
      <c r="W97">
        <v>3415</v>
      </c>
      <c r="X97">
        <v>1225</v>
      </c>
      <c r="Y97">
        <v>7.1183163416689094E-2</v>
      </c>
      <c r="Z97">
        <v>0.109475526397036</v>
      </c>
    </row>
    <row r="98" spans="1:28" ht="34" x14ac:dyDescent="0.2">
      <c r="A98" s="13">
        <v>97</v>
      </c>
      <c r="B98" t="s">
        <v>328</v>
      </c>
      <c r="C98" s="11" t="s">
        <v>163</v>
      </c>
      <c r="D98">
        <v>8.0199999999999994E-2</v>
      </c>
      <c r="E98" t="s">
        <v>324</v>
      </c>
      <c r="F98">
        <v>99.9</v>
      </c>
      <c r="G98">
        <v>73.5</v>
      </c>
      <c r="H98">
        <v>27780</v>
      </c>
      <c r="I98">
        <v>1384</v>
      </c>
      <c r="J98">
        <v>7534</v>
      </c>
      <c r="K98" s="12">
        <v>6.1499999999999996E-9</v>
      </c>
      <c r="L98">
        <v>20</v>
      </c>
      <c r="M98">
        <v>6</v>
      </c>
      <c r="N98" t="s">
        <v>203</v>
      </c>
      <c r="O98">
        <v>20</v>
      </c>
      <c r="P98">
        <v>0.2</v>
      </c>
      <c r="Q98">
        <v>84.982919369433105</v>
      </c>
      <c r="R98">
        <v>3479</v>
      </c>
      <c r="S98">
        <v>2282</v>
      </c>
      <c r="T98">
        <v>3275</v>
      </c>
      <c r="U98">
        <v>9.2563909774436102</v>
      </c>
      <c r="V98">
        <v>2334</v>
      </c>
      <c r="W98">
        <v>3631</v>
      </c>
      <c r="X98">
        <v>1297</v>
      </c>
      <c r="Y98">
        <v>7.1871168499989702E-2</v>
      </c>
      <c r="Z98">
        <v>0.106675272696492</v>
      </c>
    </row>
    <row r="99" spans="1:28" ht="34" x14ac:dyDescent="0.2">
      <c r="A99" s="13">
        <v>98</v>
      </c>
      <c r="B99" t="s">
        <v>329</v>
      </c>
      <c r="C99" s="11" t="s">
        <v>177</v>
      </c>
      <c r="D99">
        <v>5.11E-2</v>
      </c>
      <c r="E99" t="s">
        <v>324</v>
      </c>
      <c r="F99">
        <v>99.9</v>
      </c>
      <c r="G99">
        <v>73.900000000000006</v>
      </c>
      <c r="H99">
        <v>27780</v>
      </c>
      <c r="I99">
        <v>1780</v>
      </c>
      <c r="J99">
        <v>7511</v>
      </c>
      <c r="K99" s="12">
        <v>5.7310000000000002E-9</v>
      </c>
      <c r="L99">
        <v>20</v>
      </c>
      <c r="M99">
        <v>6</v>
      </c>
      <c r="N99" t="s">
        <v>203</v>
      </c>
      <c r="O99">
        <v>20</v>
      </c>
      <c r="P99">
        <v>0.2</v>
      </c>
      <c r="Q99">
        <v>73.797598852628894</v>
      </c>
      <c r="R99">
        <v>3487</v>
      </c>
      <c r="S99">
        <v>2342</v>
      </c>
      <c r="T99">
        <v>3467</v>
      </c>
      <c r="U99">
        <v>10.8774436090225</v>
      </c>
      <c r="V99">
        <v>2402</v>
      </c>
      <c r="W99">
        <v>3847</v>
      </c>
      <c r="X99">
        <v>1445</v>
      </c>
      <c r="Y99">
        <v>5.7930648957341097E-2</v>
      </c>
      <c r="Z99">
        <v>8.8812521360608895E-2</v>
      </c>
    </row>
    <row r="100" spans="1:28" ht="34" x14ac:dyDescent="0.2">
      <c r="A100" s="13">
        <v>99</v>
      </c>
      <c r="B100" t="s">
        <v>330</v>
      </c>
      <c r="C100" s="11" t="s">
        <v>159</v>
      </c>
      <c r="D100">
        <v>6.0000000000000001E-3</v>
      </c>
      <c r="E100" t="s">
        <v>324</v>
      </c>
      <c r="F100">
        <v>0</v>
      </c>
      <c r="G100">
        <v>0.5</v>
      </c>
      <c r="H100">
        <v>27780</v>
      </c>
      <c r="I100">
        <v>1366</v>
      </c>
      <c r="J100">
        <v>5483</v>
      </c>
      <c r="K100" s="12">
        <v>4.1169999999999997E-9</v>
      </c>
      <c r="L100">
        <v>20</v>
      </c>
      <c r="M100">
        <v>6</v>
      </c>
      <c r="N100" t="s">
        <v>203</v>
      </c>
      <c r="O100">
        <v>20</v>
      </c>
      <c r="P100">
        <v>0.2</v>
      </c>
      <c r="Q100">
        <v>38.084051916821103</v>
      </c>
      <c r="R100">
        <v>3498</v>
      </c>
      <c r="S100">
        <v>2714</v>
      </c>
      <c r="T100">
        <v>3322</v>
      </c>
      <c r="U100">
        <v>17.6030075187969</v>
      </c>
      <c r="V100">
        <v>2735</v>
      </c>
      <c r="W100">
        <v>4095</v>
      </c>
      <c r="X100">
        <v>1360</v>
      </c>
      <c r="Y100">
        <v>5.72121566345727E-2</v>
      </c>
      <c r="Z100">
        <v>7.3370070145529501E-2</v>
      </c>
    </row>
    <row r="101" spans="1:28" ht="34" x14ac:dyDescent="0.2">
      <c r="A101" s="13">
        <v>100</v>
      </c>
      <c r="B101" t="s">
        <v>331</v>
      </c>
      <c r="C101" s="11" t="s">
        <v>154</v>
      </c>
      <c r="D101">
        <v>0</v>
      </c>
      <c r="E101" t="s">
        <v>324</v>
      </c>
      <c r="F101">
        <v>0</v>
      </c>
      <c r="G101">
        <v>0.2</v>
      </c>
      <c r="H101">
        <v>27780</v>
      </c>
      <c r="I101">
        <v>1402</v>
      </c>
      <c r="J101">
        <v>2499</v>
      </c>
      <c r="K101" s="12">
        <v>1.097E-9</v>
      </c>
      <c r="L101">
        <v>20</v>
      </c>
      <c r="M101">
        <v>6</v>
      </c>
      <c r="N101" t="s">
        <v>203</v>
      </c>
      <c r="O101">
        <v>20</v>
      </c>
      <c r="P101">
        <v>0.2</v>
      </c>
      <c r="Q101">
        <v>2.70392517722123</v>
      </c>
      <c r="R101">
        <v>3619</v>
      </c>
      <c r="S101">
        <v>3406</v>
      </c>
      <c r="T101">
        <v>3411</v>
      </c>
      <c r="U101">
        <v>23.4142857142857</v>
      </c>
      <c r="V101">
        <v>3534</v>
      </c>
      <c r="W101">
        <v>4095</v>
      </c>
      <c r="X101">
        <v>561</v>
      </c>
      <c r="Y101">
        <v>4.0159097874755703E-2</v>
      </c>
      <c r="Z101">
        <v>4.0665663641706998E-2</v>
      </c>
    </row>
    <row r="102" spans="1:28" ht="34" x14ac:dyDescent="0.2">
      <c r="A102" s="13">
        <v>101</v>
      </c>
      <c r="B102" t="s">
        <v>332</v>
      </c>
      <c r="C102" s="11" t="s">
        <v>333</v>
      </c>
      <c r="D102">
        <v>7.2199999999999999E-3</v>
      </c>
      <c r="E102" t="s">
        <v>324</v>
      </c>
      <c r="F102">
        <v>99.9</v>
      </c>
      <c r="G102">
        <v>72.599999999999994</v>
      </c>
      <c r="H102">
        <v>27780</v>
      </c>
      <c r="I102">
        <v>1330</v>
      </c>
      <c r="J102">
        <v>7459</v>
      </c>
      <c r="K102" s="12">
        <v>6.1289999999999998E-9</v>
      </c>
      <c r="L102">
        <v>20</v>
      </c>
      <c r="M102">
        <v>6</v>
      </c>
      <c r="N102" t="s">
        <v>203</v>
      </c>
      <c r="O102">
        <v>20</v>
      </c>
      <c r="P102">
        <v>0.2</v>
      </c>
      <c r="Q102">
        <v>84.403539090348403</v>
      </c>
      <c r="R102">
        <v>3499</v>
      </c>
      <c r="S102">
        <v>2418</v>
      </c>
      <c r="T102">
        <v>3419</v>
      </c>
      <c r="U102">
        <v>13.5172932330827</v>
      </c>
      <c r="V102">
        <v>2506</v>
      </c>
      <c r="W102">
        <v>4086</v>
      </c>
      <c r="X102">
        <v>1580</v>
      </c>
      <c r="Y102">
        <v>5.6232587407535999E-2</v>
      </c>
      <c r="Z102">
        <v>8.6688251542338002E-2</v>
      </c>
    </row>
    <row r="103" spans="1:28" ht="34" x14ac:dyDescent="0.2">
      <c r="A103" s="13">
        <v>102</v>
      </c>
      <c r="B103" t="s">
        <v>334</v>
      </c>
      <c r="C103" s="11" t="s">
        <v>182</v>
      </c>
      <c r="D103">
        <v>0.42499999999999999</v>
      </c>
      <c r="E103" t="s">
        <v>324</v>
      </c>
      <c r="F103">
        <v>-1</v>
      </c>
      <c r="G103">
        <v>0.9</v>
      </c>
      <c r="H103">
        <v>27780</v>
      </c>
      <c r="I103">
        <v>1460</v>
      </c>
      <c r="J103">
        <v>4394</v>
      </c>
      <c r="K103" s="12">
        <v>2.934E-9</v>
      </c>
      <c r="L103">
        <v>20</v>
      </c>
      <c r="M103">
        <v>6</v>
      </c>
      <c r="N103" t="s">
        <v>203</v>
      </c>
      <c r="O103">
        <v>8</v>
      </c>
      <c r="P103">
        <v>0.08</v>
      </c>
      <c r="Q103">
        <v>120.887570865783</v>
      </c>
      <c r="R103">
        <v>3506</v>
      </c>
      <c r="S103">
        <v>2123</v>
      </c>
      <c r="T103">
        <v>3495</v>
      </c>
      <c r="U103">
        <v>5.2233082706766902</v>
      </c>
      <c r="V103">
        <v>2127</v>
      </c>
      <c r="W103">
        <v>3575</v>
      </c>
      <c r="X103">
        <v>1448</v>
      </c>
      <c r="Y103">
        <v>0.14025531130671801</v>
      </c>
      <c r="Z103">
        <v>0.261239022941469</v>
      </c>
    </row>
    <row r="104" spans="1:28" ht="34" x14ac:dyDescent="0.2">
      <c r="A104" s="13">
        <v>103</v>
      </c>
      <c r="B104" t="s">
        <v>335</v>
      </c>
      <c r="C104" s="11" t="s">
        <v>184</v>
      </c>
      <c r="D104">
        <v>0.437</v>
      </c>
      <c r="E104" t="s">
        <v>324</v>
      </c>
      <c r="F104">
        <v>0</v>
      </c>
      <c r="G104">
        <v>0.9</v>
      </c>
      <c r="H104">
        <v>27780</v>
      </c>
      <c r="I104">
        <v>1189</v>
      </c>
      <c r="J104">
        <v>4430</v>
      </c>
      <c r="K104" s="12">
        <v>3.2409999999999999E-9</v>
      </c>
      <c r="L104">
        <v>20</v>
      </c>
      <c r="M104">
        <v>6</v>
      </c>
      <c r="N104" t="s">
        <v>203</v>
      </c>
      <c r="O104">
        <v>8</v>
      </c>
      <c r="P104">
        <v>0.08</v>
      </c>
      <c r="Q104">
        <v>147.50933119720301</v>
      </c>
      <c r="R104">
        <v>3506</v>
      </c>
      <c r="S104">
        <v>2118</v>
      </c>
      <c r="T104">
        <v>3531</v>
      </c>
      <c r="U104">
        <v>5.0421052631578904</v>
      </c>
      <c r="V104">
        <v>2127</v>
      </c>
      <c r="W104">
        <v>3547</v>
      </c>
      <c r="X104">
        <v>1420</v>
      </c>
      <c r="Y104">
        <v>0.162798374979118</v>
      </c>
      <c r="Z104">
        <v>0.29644125480469102</v>
      </c>
    </row>
    <row r="105" spans="1:28" ht="34" x14ac:dyDescent="0.2">
      <c r="A105" s="13">
        <v>104</v>
      </c>
      <c r="B105" t="s">
        <v>336</v>
      </c>
      <c r="C105" s="11" t="s">
        <v>167</v>
      </c>
      <c r="D105">
        <v>0.41399999999999998</v>
      </c>
      <c r="E105" t="s">
        <v>324</v>
      </c>
      <c r="F105">
        <v>-1</v>
      </c>
      <c r="G105">
        <v>0.4</v>
      </c>
      <c r="H105">
        <v>27780</v>
      </c>
      <c r="I105">
        <v>1440</v>
      </c>
      <c r="J105">
        <v>4358</v>
      </c>
      <c r="K105" s="12">
        <v>2.9180000000000001E-9</v>
      </c>
      <c r="L105">
        <v>20</v>
      </c>
      <c r="M105">
        <v>6</v>
      </c>
      <c r="N105" t="s">
        <v>203</v>
      </c>
      <c r="O105">
        <v>8</v>
      </c>
      <c r="P105">
        <v>0.08</v>
      </c>
      <c r="Q105">
        <v>119.572692039291</v>
      </c>
      <c r="R105">
        <v>3507</v>
      </c>
      <c r="S105">
        <v>2130</v>
      </c>
      <c r="T105">
        <v>3495</v>
      </c>
      <c r="U105">
        <v>5.2398496240601498</v>
      </c>
      <c r="V105">
        <v>2134</v>
      </c>
      <c r="W105">
        <v>3583</v>
      </c>
      <c r="X105">
        <v>1449</v>
      </c>
      <c r="Y105">
        <v>0.14043189881411999</v>
      </c>
      <c r="Z105">
        <v>0.26028091027606898</v>
      </c>
    </row>
    <row r="106" spans="1:28" ht="34" x14ac:dyDescent="0.2">
      <c r="A106" s="13">
        <v>105</v>
      </c>
      <c r="B106" t="s">
        <v>337</v>
      </c>
      <c r="C106" s="11" t="s">
        <v>165</v>
      </c>
      <c r="D106">
        <v>0.15679999999999999</v>
      </c>
      <c r="E106" t="s">
        <v>324</v>
      </c>
      <c r="F106">
        <v>0</v>
      </c>
      <c r="G106">
        <v>0.4</v>
      </c>
      <c r="H106">
        <v>27780</v>
      </c>
      <c r="I106">
        <v>1329</v>
      </c>
      <c r="J106">
        <v>4286</v>
      </c>
      <c r="K106" s="12">
        <v>2.957E-9</v>
      </c>
      <c r="L106">
        <v>20</v>
      </c>
      <c r="M106">
        <v>6</v>
      </c>
      <c r="N106" t="s">
        <v>203</v>
      </c>
      <c r="O106">
        <v>8</v>
      </c>
      <c r="P106">
        <v>0.08</v>
      </c>
      <c r="Q106">
        <v>122.79030579441699</v>
      </c>
      <c r="R106">
        <v>3499</v>
      </c>
      <c r="S106">
        <v>2307</v>
      </c>
      <c r="T106">
        <v>3487</v>
      </c>
      <c r="U106">
        <v>9.1421052631578892</v>
      </c>
      <c r="V106">
        <v>2318</v>
      </c>
      <c r="W106">
        <v>4035</v>
      </c>
      <c r="X106">
        <v>1717</v>
      </c>
      <c r="Y106">
        <v>0.11032781451724299</v>
      </c>
      <c r="Z106">
        <v>0.217234968531029</v>
      </c>
    </row>
    <row r="107" spans="1:28" ht="34" x14ac:dyDescent="0.2">
      <c r="A107" s="13">
        <v>106</v>
      </c>
      <c r="B107" t="s">
        <v>338</v>
      </c>
      <c r="C107" s="11" t="s">
        <v>163</v>
      </c>
      <c r="D107">
        <v>8.0199999999999994E-2</v>
      </c>
      <c r="E107" t="s">
        <v>324</v>
      </c>
      <c r="F107">
        <v>40.9</v>
      </c>
      <c r="G107">
        <v>18.100000000000001</v>
      </c>
      <c r="H107">
        <v>27780</v>
      </c>
      <c r="I107">
        <v>1365</v>
      </c>
      <c r="J107">
        <v>4214</v>
      </c>
      <c r="K107" s="12">
        <v>2.8489999999999901E-9</v>
      </c>
      <c r="L107">
        <v>20</v>
      </c>
      <c r="M107">
        <v>6</v>
      </c>
      <c r="N107" t="s">
        <v>203</v>
      </c>
      <c r="O107">
        <v>8</v>
      </c>
      <c r="P107">
        <v>0.08</v>
      </c>
      <c r="Q107">
        <v>113.98463958634601</v>
      </c>
      <c r="R107">
        <v>3523</v>
      </c>
      <c r="S107">
        <v>2402</v>
      </c>
      <c r="T107">
        <v>3526</v>
      </c>
      <c r="U107">
        <v>11.2812030075187</v>
      </c>
      <c r="V107">
        <v>2410</v>
      </c>
      <c r="W107">
        <v>4094</v>
      </c>
      <c r="X107">
        <v>1684</v>
      </c>
      <c r="Y107">
        <v>0.12695702084173999</v>
      </c>
      <c r="Z107">
        <v>0.224192861399931</v>
      </c>
    </row>
    <row r="108" spans="1:28" ht="34" x14ac:dyDescent="0.2">
      <c r="A108" s="13">
        <v>107</v>
      </c>
      <c r="B108" t="s">
        <v>339</v>
      </c>
      <c r="C108" s="11" t="s">
        <v>177</v>
      </c>
      <c r="D108">
        <v>5.11E-2</v>
      </c>
      <c r="E108" t="s">
        <v>324</v>
      </c>
      <c r="F108">
        <v>50.4</v>
      </c>
      <c r="G108">
        <v>22.2</v>
      </c>
      <c r="H108">
        <v>27780</v>
      </c>
      <c r="I108">
        <v>1619</v>
      </c>
      <c r="J108">
        <v>4178</v>
      </c>
      <c r="K108" s="12">
        <v>2.559E-9</v>
      </c>
      <c r="L108">
        <v>20</v>
      </c>
      <c r="M108">
        <v>6</v>
      </c>
      <c r="N108" t="s">
        <v>203</v>
      </c>
      <c r="O108">
        <v>8</v>
      </c>
      <c r="P108">
        <v>0.08</v>
      </c>
      <c r="Q108">
        <v>91.960643931400796</v>
      </c>
      <c r="R108">
        <v>3539</v>
      </c>
      <c r="S108">
        <v>2446</v>
      </c>
      <c r="T108">
        <v>3638</v>
      </c>
      <c r="U108">
        <v>12.125563909774399</v>
      </c>
      <c r="V108">
        <v>2455</v>
      </c>
      <c r="W108">
        <v>4095</v>
      </c>
      <c r="X108">
        <v>1640</v>
      </c>
      <c r="Y108">
        <v>0.12834201989258301</v>
      </c>
      <c r="Z108">
        <v>0.21334536081436201</v>
      </c>
    </row>
    <row r="109" spans="1:28" ht="34" x14ac:dyDescent="0.2">
      <c r="A109" s="13">
        <v>108</v>
      </c>
      <c r="B109" t="s">
        <v>340</v>
      </c>
      <c r="C109" s="11" t="s">
        <v>159</v>
      </c>
      <c r="D109">
        <v>6.0000000000000001E-3</v>
      </c>
      <c r="E109" t="s">
        <v>324</v>
      </c>
      <c r="F109">
        <v>0</v>
      </c>
      <c r="G109">
        <v>0.5</v>
      </c>
      <c r="H109">
        <v>27780</v>
      </c>
      <c r="I109">
        <v>1833</v>
      </c>
      <c r="J109">
        <v>3601</v>
      </c>
      <c r="K109" s="12">
        <v>1.76799999999999E-9</v>
      </c>
      <c r="L109">
        <v>20</v>
      </c>
      <c r="M109">
        <v>6</v>
      </c>
      <c r="N109" t="s">
        <v>203</v>
      </c>
      <c r="O109">
        <v>8</v>
      </c>
      <c r="P109">
        <v>0.08</v>
      </c>
      <c r="Q109">
        <v>43.896101684684901</v>
      </c>
      <c r="R109">
        <v>3559</v>
      </c>
      <c r="S109">
        <v>2830</v>
      </c>
      <c r="T109">
        <v>3698</v>
      </c>
      <c r="U109">
        <v>17.4293233082706</v>
      </c>
      <c r="V109">
        <v>2875</v>
      </c>
      <c r="W109">
        <v>4095</v>
      </c>
      <c r="X109">
        <v>1220</v>
      </c>
      <c r="Y109">
        <v>0.18840619452999999</v>
      </c>
      <c r="Z109">
        <v>0.22704366023449399</v>
      </c>
    </row>
    <row r="110" spans="1:28" ht="34" x14ac:dyDescent="0.2">
      <c r="A110" s="13">
        <v>109</v>
      </c>
      <c r="B110" t="s">
        <v>341</v>
      </c>
      <c r="C110" s="11" t="s">
        <v>157</v>
      </c>
      <c r="D110">
        <v>7.2199999999999999E-3</v>
      </c>
      <c r="E110" t="s">
        <v>324</v>
      </c>
      <c r="F110">
        <v>46.7</v>
      </c>
      <c r="G110">
        <v>20.6</v>
      </c>
      <c r="H110">
        <v>27780</v>
      </c>
      <c r="I110">
        <v>1619</v>
      </c>
      <c r="J110">
        <v>4178</v>
      </c>
      <c r="K110" s="12">
        <v>2.559E-9</v>
      </c>
      <c r="L110">
        <v>20</v>
      </c>
      <c r="M110">
        <v>6</v>
      </c>
      <c r="N110" t="s">
        <v>203</v>
      </c>
      <c r="O110">
        <v>8</v>
      </c>
      <c r="P110">
        <v>0.08</v>
      </c>
      <c r="Q110">
        <v>91.960643931400796</v>
      </c>
      <c r="R110">
        <v>3563</v>
      </c>
      <c r="S110">
        <v>2506</v>
      </c>
      <c r="T110">
        <v>3670</v>
      </c>
      <c r="U110">
        <v>13.8030075187969</v>
      </c>
      <c r="V110">
        <v>2519</v>
      </c>
      <c r="W110">
        <v>4095</v>
      </c>
      <c r="X110">
        <v>1576</v>
      </c>
      <c r="Y110">
        <v>0.149192516725592</v>
      </c>
      <c r="Z110">
        <v>0.230942807164946</v>
      </c>
    </row>
    <row r="111" spans="1:28" ht="34" x14ac:dyDescent="0.2">
      <c r="A111" s="13">
        <v>110</v>
      </c>
      <c r="B111" t="s">
        <v>342</v>
      </c>
      <c r="C111" s="11" t="s">
        <v>154</v>
      </c>
      <c r="D111">
        <v>0</v>
      </c>
      <c r="E111" t="s">
        <v>324</v>
      </c>
      <c r="F111">
        <v>-1</v>
      </c>
      <c r="G111">
        <v>35.9</v>
      </c>
      <c r="H111">
        <v>27780</v>
      </c>
      <c r="I111">
        <v>1763</v>
      </c>
      <c r="J111">
        <v>2123</v>
      </c>
      <c r="K111" s="12">
        <v>3.5999999999999902E-10</v>
      </c>
      <c r="L111">
        <v>20</v>
      </c>
      <c r="M111">
        <v>6</v>
      </c>
      <c r="N111" t="s">
        <v>203</v>
      </c>
      <c r="O111">
        <v>8</v>
      </c>
      <c r="P111">
        <v>0.08</v>
      </c>
      <c r="Q111">
        <v>1.81997923694205</v>
      </c>
      <c r="R111">
        <v>3623</v>
      </c>
      <c r="S111">
        <v>3546</v>
      </c>
      <c r="T111">
        <v>3735</v>
      </c>
      <c r="U111">
        <v>27.499248120300699</v>
      </c>
      <c r="V111">
        <v>3546</v>
      </c>
      <c r="W111">
        <v>4095</v>
      </c>
      <c r="X111">
        <v>549</v>
      </c>
      <c r="Y111">
        <v>8.3487651577501001E-2</v>
      </c>
      <c r="Z111">
        <v>8.4428847481405597E-2</v>
      </c>
    </row>
    <row r="112" spans="1:28" ht="34" x14ac:dyDescent="0.2">
      <c r="A112" s="13">
        <v>111</v>
      </c>
      <c r="B112" t="s">
        <v>343</v>
      </c>
      <c r="C112" s="11" t="s">
        <v>344</v>
      </c>
      <c r="D112">
        <v>0.24099999999999999</v>
      </c>
      <c r="E112" t="s">
        <v>345</v>
      </c>
      <c r="F112">
        <v>100</v>
      </c>
      <c r="G112">
        <v>81.2</v>
      </c>
      <c r="H112">
        <v>20105</v>
      </c>
      <c r="I112">
        <v>4100</v>
      </c>
      <c r="J112">
        <v>10109</v>
      </c>
      <c r="K112" s="12">
        <v>6.0089999999999903E-9</v>
      </c>
      <c r="L112">
        <v>20</v>
      </c>
      <c r="M112">
        <v>1</v>
      </c>
      <c r="N112" t="s">
        <v>81</v>
      </c>
      <c r="O112">
        <v>20</v>
      </c>
      <c r="P112">
        <v>0.2</v>
      </c>
      <c r="Q112">
        <v>81.130811982496098</v>
      </c>
      <c r="R112">
        <v>3634</v>
      </c>
      <c r="S112">
        <v>2175</v>
      </c>
      <c r="T112">
        <v>3442</v>
      </c>
      <c r="U112">
        <v>3.8631578947368399</v>
      </c>
      <c r="V112">
        <v>2175</v>
      </c>
      <c r="W112">
        <v>2518</v>
      </c>
      <c r="X112">
        <v>343</v>
      </c>
      <c r="Y112">
        <v>0.22076564760824299</v>
      </c>
      <c r="Z112">
        <v>0.26110866349005801</v>
      </c>
      <c r="AA112">
        <v>0.33012589651408791</v>
      </c>
      <c r="AB112">
        <v>0.2770529138029989</v>
      </c>
    </row>
    <row r="113" spans="1:28" ht="34" x14ac:dyDescent="0.2">
      <c r="A113" s="13">
        <v>112</v>
      </c>
      <c r="B113" t="s">
        <v>346</v>
      </c>
      <c r="C113" s="11" t="s">
        <v>347</v>
      </c>
      <c r="D113">
        <v>0.28199999999999997</v>
      </c>
      <c r="E113" t="s">
        <v>345</v>
      </c>
      <c r="F113">
        <v>100</v>
      </c>
      <c r="G113">
        <v>81</v>
      </c>
      <c r="H113">
        <v>20105</v>
      </c>
      <c r="I113">
        <v>4100</v>
      </c>
      <c r="J113">
        <v>10101</v>
      </c>
      <c r="K113" s="12">
        <v>6.0010000000000003E-9</v>
      </c>
      <c r="L113">
        <v>20</v>
      </c>
      <c r="M113">
        <v>1</v>
      </c>
      <c r="N113" t="s">
        <v>81</v>
      </c>
      <c r="O113">
        <v>20</v>
      </c>
      <c r="P113">
        <v>0.2</v>
      </c>
      <c r="Q113">
        <v>80.914930988563597</v>
      </c>
      <c r="R113">
        <v>3687</v>
      </c>
      <c r="S113">
        <v>2170</v>
      </c>
      <c r="T113">
        <v>3490</v>
      </c>
      <c r="U113">
        <v>2.65864661654135</v>
      </c>
      <c r="V113">
        <v>2170</v>
      </c>
      <c r="W113">
        <v>2463</v>
      </c>
      <c r="X113">
        <v>293</v>
      </c>
      <c r="Y113">
        <v>0.23900375561235801</v>
      </c>
      <c r="Z113">
        <v>0.28013832139692002</v>
      </c>
      <c r="AA113">
        <v>0.34820956059653352</v>
      </c>
      <c r="AB113">
        <v>0.29595611158113244</v>
      </c>
    </row>
    <row r="114" spans="1:28" ht="34" x14ac:dyDescent="0.2">
      <c r="A114" s="13">
        <v>113</v>
      </c>
      <c r="B114" t="s">
        <v>348</v>
      </c>
      <c r="C114" s="11" t="s">
        <v>349</v>
      </c>
      <c r="D114">
        <v>0.25800000000000001</v>
      </c>
      <c r="E114" t="s">
        <v>345</v>
      </c>
      <c r="F114">
        <v>100</v>
      </c>
      <c r="G114">
        <v>81.8</v>
      </c>
      <c r="H114">
        <v>20105</v>
      </c>
      <c r="I114">
        <v>4100</v>
      </c>
      <c r="J114">
        <v>10129</v>
      </c>
      <c r="K114" s="12">
        <v>6.0289999999999898E-9</v>
      </c>
      <c r="L114">
        <v>20</v>
      </c>
      <c r="M114">
        <v>1</v>
      </c>
      <c r="N114" t="s">
        <v>81</v>
      </c>
      <c r="O114">
        <v>20</v>
      </c>
      <c r="P114">
        <v>0.2</v>
      </c>
      <c r="Q114">
        <v>81.671772724577806</v>
      </c>
      <c r="R114">
        <v>3666</v>
      </c>
      <c r="S114">
        <v>2171</v>
      </c>
      <c r="T114">
        <v>3458</v>
      </c>
      <c r="U114">
        <v>3.3293233082706699</v>
      </c>
      <c r="V114">
        <v>2179</v>
      </c>
      <c r="W114">
        <v>2491</v>
      </c>
      <c r="X114">
        <v>312</v>
      </c>
      <c r="Y114">
        <v>0.23308055667786801</v>
      </c>
      <c r="Z114">
        <v>0.273910996149968</v>
      </c>
      <c r="AA114">
        <v>0.34279926449862402</v>
      </c>
      <c r="AB114">
        <v>0.28986426857203479</v>
      </c>
    </row>
    <row r="115" spans="1:28" ht="34" x14ac:dyDescent="0.2">
      <c r="A115" s="13">
        <v>114</v>
      </c>
      <c r="B115" t="s">
        <v>350</v>
      </c>
      <c r="C115" s="11" t="s">
        <v>351</v>
      </c>
      <c r="D115">
        <v>0.15670000000000001</v>
      </c>
      <c r="E115" t="s">
        <v>345</v>
      </c>
      <c r="F115">
        <v>100</v>
      </c>
      <c r="G115">
        <v>81.2</v>
      </c>
      <c r="H115">
        <v>20105</v>
      </c>
      <c r="I115">
        <v>4100</v>
      </c>
      <c r="J115">
        <v>10107</v>
      </c>
      <c r="K115" s="12">
        <v>6.0069999999999996E-9</v>
      </c>
      <c r="L115">
        <v>20</v>
      </c>
      <c r="M115">
        <v>1</v>
      </c>
      <c r="N115" t="s">
        <v>81</v>
      </c>
      <c r="O115">
        <v>20</v>
      </c>
      <c r="P115">
        <v>0.2</v>
      </c>
      <c r="Q115">
        <v>81.076814771357704</v>
      </c>
      <c r="R115">
        <v>3499</v>
      </c>
      <c r="S115">
        <v>2175</v>
      </c>
      <c r="T115">
        <v>3291</v>
      </c>
      <c r="U115">
        <v>7.6496240601503702</v>
      </c>
      <c r="V115">
        <v>2186</v>
      </c>
      <c r="W115">
        <v>2686</v>
      </c>
      <c r="X115">
        <v>500</v>
      </c>
      <c r="Y115">
        <v>0.17626431961293501</v>
      </c>
      <c r="Z115">
        <v>0.214335971863817</v>
      </c>
      <c r="AA115">
        <v>0.2856093830619964</v>
      </c>
      <c r="AB115">
        <v>0.23055923818199392</v>
      </c>
    </row>
    <row r="116" spans="1:28" ht="34" x14ac:dyDescent="0.2">
      <c r="A116" s="13">
        <v>115</v>
      </c>
      <c r="B116" t="s">
        <v>352</v>
      </c>
      <c r="C116" s="11" t="s">
        <v>344</v>
      </c>
      <c r="D116">
        <v>0.24099999999999999</v>
      </c>
      <c r="E116" t="s">
        <v>345</v>
      </c>
      <c r="F116">
        <v>100</v>
      </c>
      <c r="G116">
        <v>51.6</v>
      </c>
      <c r="H116">
        <v>20885</v>
      </c>
      <c r="I116">
        <v>4120</v>
      </c>
      <c r="J116">
        <v>8908</v>
      </c>
      <c r="K116" s="12">
        <v>4.7879999999999996E-9</v>
      </c>
      <c r="L116">
        <v>20</v>
      </c>
      <c r="M116">
        <v>2</v>
      </c>
      <c r="N116" t="s">
        <v>120</v>
      </c>
      <c r="O116">
        <v>20</v>
      </c>
      <c r="P116">
        <v>0.2</v>
      </c>
      <c r="Q116">
        <v>51.509780355628799</v>
      </c>
      <c r="R116">
        <v>1711</v>
      </c>
      <c r="S116">
        <v>570</v>
      </c>
      <c r="T116">
        <v>1467</v>
      </c>
      <c r="U116">
        <v>8.1233082706766897</v>
      </c>
      <c r="V116">
        <v>594</v>
      </c>
      <c r="W116">
        <v>2295</v>
      </c>
      <c r="X116">
        <v>1701</v>
      </c>
      <c r="Y116">
        <v>0</v>
      </c>
      <c r="Z116">
        <v>0</v>
      </c>
      <c r="AA116">
        <v>-1.292710397252988E-2</v>
      </c>
      <c r="AB116">
        <v>-1.4747193720827377E-2</v>
      </c>
    </row>
    <row r="117" spans="1:28" ht="34" x14ac:dyDescent="0.2">
      <c r="A117" s="13">
        <v>116</v>
      </c>
      <c r="B117" t="s">
        <v>353</v>
      </c>
      <c r="C117" s="11" t="s">
        <v>347</v>
      </c>
      <c r="D117">
        <v>0.28199999999999997</v>
      </c>
      <c r="E117" t="s">
        <v>345</v>
      </c>
      <c r="F117">
        <v>100</v>
      </c>
      <c r="G117">
        <v>52.5</v>
      </c>
      <c r="H117">
        <v>20885</v>
      </c>
      <c r="I117">
        <v>4120</v>
      </c>
      <c r="J117">
        <v>8952</v>
      </c>
      <c r="K117" s="12">
        <v>4.8319999999999999E-9</v>
      </c>
      <c r="L117">
        <v>20</v>
      </c>
      <c r="M117">
        <v>2</v>
      </c>
      <c r="N117" t="s">
        <v>120</v>
      </c>
      <c r="O117">
        <v>20</v>
      </c>
      <c r="P117">
        <v>0.2</v>
      </c>
      <c r="Q117">
        <v>52.460843085768097</v>
      </c>
      <c r="R117">
        <v>1715</v>
      </c>
      <c r="S117">
        <v>547</v>
      </c>
      <c r="T117">
        <v>1470</v>
      </c>
      <c r="U117">
        <v>7.4518796992481198</v>
      </c>
      <c r="V117">
        <v>574</v>
      </c>
      <c r="W117">
        <v>2291</v>
      </c>
      <c r="X117">
        <v>1717</v>
      </c>
      <c r="Y117">
        <v>0</v>
      </c>
      <c r="Z117">
        <v>0</v>
      </c>
      <c r="AA117">
        <v>-1.7235544533626655E-2</v>
      </c>
      <c r="AB117">
        <v>-1.8586916020545824E-2</v>
      </c>
    </row>
    <row r="118" spans="1:28" ht="34" x14ac:dyDescent="0.2">
      <c r="A118" s="13">
        <v>117</v>
      </c>
      <c r="B118" t="s">
        <v>354</v>
      </c>
      <c r="C118" s="11" t="s">
        <v>349</v>
      </c>
      <c r="D118">
        <v>0.25800000000000001</v>
      </c>
      <c r="E118" t="s">
        <v>345</v>
      </c>
      <c r="F118">
        <v>100</v>
      </c>
      <c r="G118">
        <v>52</v>
      </c>
      <c r="H118">
        <v>20885</v>
      </c>
      <c r="I118">
        <v>4120</v>
      </c>
      <c r="J118">
        <v>8929</v>
      </c>
      <c r="K118" s="12">
        <v>4.8090000000000002E-9</v>
      </c>
      <c r="L118">
        <v>20</v>
      </c>
      <c r="M118">
        <v>2</v>
      </c>
      <c r="N118" t="s">
        <v>120</v>
      </c>
      <c r="O118">
        <v>20</v>
      </c>
      <c r="P118">
        <v>0.2</v>
      </c>
      <c r="Q118">
        <v>51.962611411771498</v>
      </c>
      <c r="R118">
        <v>1706</v>
      </c>
      <c r="S118">
        <v>562</v>
      </c>
      <c r="T118">
        <v>1467</v>
      </c>
      <c r="U118">
        <v>7.8496240601503704</v>
      </c>
      <c r="V118">
        <v>583</v>
      </c>
      <c r="W118">
        <v>2291</v>
      </c>
      <c r="X118">
        <v>1708</v>
      </c>
      <c r="Y118">
        <v>0</v>
      </c>
      <c r="Z118">
        <v>0</v>
      </c>
      <c r="AA118">
        <v>-1.5163575241090356E-2</v>
      </c>
      <c r="AB118">
        <v>-1.6781153438262579E-2</v>
      </c>
    </row>
    <row r="119" spans="1:28" ht="34" x14ac:dyDescent="0.2">
      <c r="A119" s="13">
        <v>118</v>
      </c>
      <c r="B119" t="s">
        <v>355</v>
      </c>
      <c r="C119" s="11" t="s">
        <v>351</v>
      </c>
      <c r="D119">
        <v>0.15670000000000001</v>
      </c>
      <c r="E119" t="s">
        <v>345</v>
      </c>
      <c r="F119">
        <v>100</v>
      </c>
      <c r="G119">
        <v>51.9</v>
      </c>
      <c r="H119">
        <v>20885</v>
      </c>
      <c r="I119">
        <v>4120</v>
      </c>
      <c r="J119">
        <v>8923</v>
      </c>
      <c r="K119" s="12">
        <v>4.8030000000000001E-9</v>
      </c>
      <c r="L119">
        <v>20</v>
      </c>
      <c r="M119">
        <v>2</v>
      </c>
      <c r="N119" t="s">
        <v>120</v>
      </c>
      <c r="O119">
        <v>20</v>
      </c>
      <c r="P119">
        <v>0.2</v>
      </c>
      <c r="Q119">
        <v>51.833028890101197</v>
      </c>
      <c r="R119">
        <v>1707</v>
      </c>
      <c r="S119">
        <v>639</v>
      </c>
      <c r="T119">
        <v>1474</v>
      </c>
      <c r="U119">
        <v>10.751127819548801</v>
      </c>
      <c r="V119">
        <v>682</v>
      </c>
      <c r="W119">
        <v>2327</v>
      </c>
      <c r="X119">
        <v>1645</v>
      </c>
      <c r="Y119">
        <v>0</v>
      </c>
      <c r="Z119">
        <v>0</v>
      </c>
      <c r="AA119">
        <v>3.4208802512541579E-3</v>
      </c>
      <c r="AB119">
        <v>-4.5876017411825275E-4</v>
      </c>
    </row>
    <row r="120" spans="1:28" ht="34" x14ac:dyDescent="0.2">
      <c r="A120" s="13">
        <v>119</v>
      </c>
      <c r="B120" t="s">
        <v>356</v>
      </c>
      <c r="C120" s="11" t="s">
        <v>344</v>
      </c>
      <c r="D120">
        <v>0.24099999999999999</v>
      </c>
      <c r="E120" t="s">
        <v>345</v>
      </c>
      <c r="F120">
        <v>100</v>
      </c>
      <c r="G120">
        <v>46.4</v>
      </c>
      <c r="H120">
        <v>29285</v>
      </c>
      <c r="I120">
        <v>4100</v>
      </c>
      <c r="J120">
        <v>5917</v>
      </c>
      <c r="K120" s="12">
        <v>1.8169999999999899E-9</v>
      </c>
      <c r="L120">
        <v>20</v>
      </c>
      <c r="M120">
        <v>2</v>
      </c>
      <c r="N120" t="s">
        <v>120</v>
      </c>
      <c r="O120">
        <v>8</v>
      </c>
      <c r="P120">
        <v>0.08</v>
      </c>
      <c r="Q120">
        <v>46.362974004572401</v>
      </c>
      <c r="R120">
        <v>1706</v>
      </c>
      <c r="S120">
        <v>670</v>
      </c>
      <c r="T120">
        <v>1539</v>
      </c>
      <c r="U120">
        <v>14.2127819548872</v>
      </c>
      <c r="V120">
        <v>679</v>
      </c>
      <c r="W120">
        <v>3235</v>
      </c>
      <c r="X120">
        <v>2556</v>
      </c>
      <c r="Y120">
        <v>0</v>
      </c>
      <c r="Z120">
        <v>0</v>
      </c>
    </row>
    <row r="121" spans="1:28" ht="34" x14ac:dyDescent="0.2">
      <c r="A121" s="13">
        <v>120</v>
      </c>
      <c r="B121" t="s">
        <v>357</v>
      </c>
      <c r="C121" s="11" t="s">
        <v>347</v>
      </c>
      <c r="D121">
        <v>0.28199999999999997</v>
      </c>
      <c r="E121" t="s">
        <v>345</v>
      </c>
      <c r="F121">
        <v>100</v>
      </c>
      <c r="G121">
        <v>46.2</v>
      </c>
      <c r="H121">
        <v>29285</v>
      </c>
      <c r="I121">
        <v>4120</v>
      </c>
      <c r="J121">
        <v>5932</v>
      </c>
      <c r="K121" s="12">
        <v>1.8119999999999999E-9</v>
      </c>
      <c r="L121">
        <v>20</v>
      </c>
      <c r="M121">
        <v>2</v>
      </c>
      <c r="N121" t="s">
        <v>120</v>
      </c>
      <c r="O121">
        <v>8</v>
      </c>
      <c r="P121">
        <v>0.08</v>
      </c>
      <c r="Q121">
        <v>46.108162868350803</v>
      </c>
      <c r="R121">
        <v>1695</v>
      </c>
      <c r="S121">
        <v>654</v>
      </c>
      <c r="T121">
        <v>1522</v>
      </c>
      <c r="U121">
        <v>12.9255639097744</v>
      </c>
      <c r="V121">
        <v>666</v>
      </c>
      <c r="W121">
        <v>3246</v>
      </c>
      <c r="X121">
        <v>2580</v>
      </c>
      <c r="Y121">
        <v>0</v>
      </c>
      <c r="Z121">
        <v>0</v>
      </c>
    </row>
    <row r="122" spans="1:28" ht="34" x14ac:dyDescent="0.2">
      <c r="A122" s="13">
        <v>121</v>
      </c>
      <c r="B122" t="s">
        <v>358</v>
      </c>
      <c r="C122" s="11" t="s">
        <v>349</v>
      </c>
      <c r="D122">
        <v>0.25800000000000001</v>
      </c>
      <c r="E122" t="s">
        <v>345</v>
      </c>
      <c r="F122">
        <v>100</v>
      </c>
      <c r="G122">
        <v>45.4</v>
      </c>
      <c r="H122">
        <v>29285</v>
      </c>
      <c r="I122">
        <v>4100</v>
      </c>
      <c r="J122">
        <v>5897</v>
      </c>
      <c r="K122" s="12">
        <v>1.79699999999999E-9</v>
      </c>
      <c r="L122">
        <v>20</v>
      </c>
      <c r="M122">
        <v>2</v>
      </c>
      <c r="N122" t="s">
        <v>120</v>
      </c>
      <c r="O122">
        <v>8</v>
      </c>
      <c r="P122">
        <v>0.08</v>
      </c>
      <c r="Q122">
        <v>45.347942374586502</v>
      </c>
      <c r="R122">
        <v>1706</v>
      </c>
      <c r="S122">
        <v>667</v>
      </c>
      <c r="T122">
        <v>1546</v>
      </c>
      <c r="U122">
        <v>13.3406015037594</v>
      </c>
      <c r="V122">
        <v>670</v>
      </c>
      <c r="W122">
        <v>3242</v>
      </c>
      <c r="X122">
        <v>2572</v>
      </c>
      <c r="Y122">
        <v>0</v>
      </c>
      <c r="Z122">
        <v>0</v>
      </c>
    </row>
    <row r="123" spans="1:28" ht="34" x14ac:dyDescent="0.2">
      <c r="A123" s="13">
        <v>122</v>
      </c>
      <c r="B123" t="s">
        <v>359</v>
      </c>
      <c r="C123" s="11" t="s">
        <v>351</v>
      </c>
      <c r="D123">
        <v>0.15670000000000001</v>
      </c>
      <c r="E123" t="s">
        <v>345</v>
      </c>
      <c r="F123">
        <v>100</v>
      </c>
      <c r="G123">
        <v>44.9</v>
      </c>
      <c r="H123">
        <v>29285</v>
      </c>
      <c r="I123">
        <v>4120</v>
      </c>
      <c r="J123">
        <v>5907</v>
      </c>
      <c r="K123" s="12">
        <v>1.7869999999999999E-9</v>
      </c>
      <c r="L123">
        <v>20</v>
      </c>
      <c r="M123">
        <v>2</v>
      </c>
      <c r="N123" t="s">
        <v>120</v>
      </c>
      <c r="O123">
        <v>8</v>
      </c>
      <c r="P123">
        <v>0.08</v>
      </c>
      <c r="Q123">
        <v>44.844639474493903</v>
      </c>
      <c r="R123">
        <v>1699</v>
      </c>
      <c r="S123">
        <v>698</v>
      </c>
      <c r="T123">
        <v>1514</v>
      </c>
      <c r="U123">
        <v>16.481203007518701</v>
      </c>
      <c r="V123">
        <v>710</v>
      </c>
      <c r="W123">
        <v>3210</v>
      </c>
      <c r="X123">
        <v>2500</v>
      </c>
      <c r="Y123">
        <v>0</v>
      </c>
      <c r="Z123">
        <v>0</v>
      </c>
    </row>
    <row r="124" spans="1:28" ht="34" x14ac:dyDescent="0.2">
      <c r="A124" s="13">
        <v>123</v>
      </c>
      <c r="B124" t="s">
        <v>360</v>
      </c>
      <c r="C124" s="11" t="s">
        <v>344</v>
      </c>
      <c r="D124">
        <v>0.24099999999999999</v>
      </c>
      <c r="E124" t="s">
        <v>345</v>
      </c>
      <c r="F124">
        <v>77.3</v>
      </c>
      <c r="G124">
        <v>56</v>
      </c>
      <c r="H124">
        <v>29045</v>
      </c>
      <c r="I124">
        <v>4067</v>
      </c>
      <c r="J124">
        <v>6416</v>
      </c>
      <c r="K124" s="12">
        <v>2.3490000000000001E-9</v>
      </c>
      <c r="L124">
        <v>20</v>
      </c>
      <c r="M124">
        <v>1</v>
      </c>
      <c r="N124" t="s">
        <v>81</v>
      </c>
      <c r="O124">
        <v>7.8</v>
      </c>
      <c r="P124">
        <v>7.8E-2</v>
      </c>
      <c r="Q124">
        <v>81.511377777600103</v>
      </c>
      <c r="R124">
        <v>3419</v>
      </c>
      <c r="S124">
        <v>2218</v>
      </c>
      <c r="T124">
        <v>3347</v>
      </c>
      <c r="U124">
        <v>9.8157894736842106</v>
      </c>
      <c r="V124">
        <v>2219</v>
      </c>
      <c r="W124">
        <v>2775</v>
      </c>
      <c r="X124">
        <v>556</v>
      </c>
      <c r="Y124">
        <v>0.42516098118025503</v>
      </c>
      <c r="Z124">
        <v>0.51757225108075899</v>
      </c>
    </row>
    <row r="125" spans="1:28" ht="34" x14ac:dyDescent="0.2">
      <c r="A125" s="13">
        <v>124</v>
      </c>
      <c r="B125" t="s">
        <v>361</v>
      </c>
      <c r="C125" s="11" t="s">
        <v>347</v>
      </c>
      <c r="D125">
        <v>0.28199999999999997</v>
      </c>
      <c r="E125" t="s">
        <v>345</v>
      </c>
      <c r="F125">
        <v>77.5</v>
      </c>
      <c r="G125">
        <v>56.2</v>
      </c>
      <c r="H125">
        <v>29045</v>
      </c>
      <c r="I125">
        <v>4070</v>
      </c>
      <c r="J125">
        <v>6420</v>
      </c>
      <c r="K125" s="12">
        <v>2.34999999999999E-9</v>
      </c>
      <c r="L125">
        <v>20</v>
      </c>
      <c r="M125">
        <v>1</v>
      </c>
      <c r="N125" t="s">
        <v>81</v>
      </c>
      <c r="O125">
        <v>7.8</v>
      </c>
      <c r="P125">
        <v>7.8E-2</v>
      </c>
      <c r="Q125">
        <v>81.580793467686902</v>
      </c>
      <c r="R125">
        <v>3483</v>
      </c>
      <c r="S125">
        <v>2247</v>
      </c>
      <c r="T125">
        <v>3406</v>
      </c>
      <c r="U125">
        <v>8.0511278195488707</v>
      </c>
      <c r="V125">
        <v>2247</v>
      </c>
      <c r="W125">
        <v>2702</v>
      </c>
      <c r="X125">
        <v>455</v>
      </c>
      <c r="Y125">
        <v>0.49080392442632498</v>
      </c>
      <c r="Z125">
        <v>0.58413739928788999</v>
      </c>
    </row>
    <row r="126" spans="1:28" ht="34" x14ac:dyDescent="0.2">
      <c r="A126" s="13">
        <v>125</v>
      </c>
      <c r="B126" t="s">
        <v>362</v>
      </c>
      <c r="C126" s="11" t="s">
        <v>349</v>
      </c>
      <c r="D126">
        <v>0.25800000000000001</v>
      </c>
      <c r="E126" t="s">
        <v>345</v>
      </c>
      <c r="F126">
        <v>79.3</v>
      </c>
      <c r="G126">
        <v>58.4</v>
      </c>
      <c r="H126">
        <v>29045</v>
      </c>
      <c r="I126">
        <v>4106</v>
      </c>
      <c r="J126">
        <v>6418</v>
      </c>
      <c r="K126" s="12">
        <v>2.3119999999999999E-9</v>
      </c>
      <c r="L126">
        <v>20</v>
      </c>
      <c r="M126">
        <v>1</v>
      </c>
      <c r="N126" t="s">
        <v>81</v>
      </c>
      <c r="O126">
        <v>7.8</v>
      </c>
      <c r="P126">
        <v>7.8E-2</v>
      </c>
      <c r="Q126">
        <v>78.963767293388798</v>
      </c>
      <c r="R126">
        <v>3450</v>
      </c>
      <c r="S126">
        <v>2234</v>
      </c>
      <c r="T126">
        <v>3347</v>
      </c>
      <c r="U126">
        <v>9.0278195488721806</v>
      </c>
      <c r="V126">
        <v>2235</v>
      </c>
      <c r="W126">
        <v>2742</v>
      </c>
      <c r="X126">
        <v>507</v>
      </c>
      <c r="Y126">
        <v>0.44853025172776301</v>
      </c>
      <c r="Z126">
        <v>0.53975303624625803</v>
      </c>
    </row>
    <row r="127" spans="1:28" ht="34" x14ac:dyDescent="0.2">
      <c r="A127" s="13">
        <v>126</v>
      </c>
      <c r="B127" t="s">
        <v>363</v>
      </c>
      <c r="C127" s="11" t="s">
        <v>351</v>
      </c>
      <c r="D127">
        <v>0.15670000000000001</v>
      </c>
      <c r="E127" t="s">
        <v>345</v>
      </c>
      <c r="F127">
        <v>93.9</v>
      </c>
      <c r="G127">
        <v>75.099999999999994</v>
      </c>
      <c r="H127">
        <v>29045</v>
      </c>
      <c r="I127">
        <v>4100</v>
      </c>
      <c r="J127">
        <v>6411</v>
      </c>
      <c r="K127" s="12">
        <v>2.311E-9</v>
      </c>
      <c r="L127">
        <v>20</v>
      </c>
      <c r="M127">
        <v>1</v>
      </c>
      <c r="N127" t="s">
        <v>81</v>
      </c>
      <c r="O127">
        <v>7.8</v>
      </c>
      <c r="P127">
        <v>7.8E-2</v>
      </c>
      <c r="Q127">
        <v>78.895474308653405</v>
      </c>
      <c r="R127">
        <v>3230</v>
      </c>
      <c r="S127">
        <v>2103</v>
      </c>
      <c r="T127">
        <v>3119</v>
      </c>
      <c r="U127">
        <v>13.6526315789473</v>
      </c>
      <c r="V127">
        <v>2106</v>
      </c>
      <c r="W127">
        <v>2991</v>
      </c>
      <c r="X127">
        <v>885</v>
      </c>
      <c r="Y127">
        <v>0.26201046100872799</v>
      </c>
      <c r="Z127">
        <v>0.35225667799879701</v>
      </c>
    </row>
    <row r="128" spans="1:28" ht="34" x14ac:dyDescent="0.2">
      <c r="A128" s="13">
        <v>127</v>
      </c>
      <c r="B128" t="s">
        <v>364</v>
      </c>
      <c r="C128" s="11" t="s">
        <v>344</v>
      </c>
      <c r="D128">
        <v>0.24099999999999999</v>
      </c>
      <c r="E128" t="s">
        <v>345</v>
      </c>
      <c r="F128">
        <v>-1</v>
      </c>
      <c r="G128">
        <v>40.5</v>
      </c>
      <c r="H128">
        <v>27120</v>
      </c>
      <c r="I128">
        <v>4160</v>
      </c>
      <c r="J128">
        <v>16127</v>
      </c>
      <c r="K128" s="12">
        <v>1.1967000000000001E-8</v>
      </c>
      <c r="L128">
        <v>20</v>
      </c>
      <c r="M128">
        <v>5</v>
      </c>
      <c r="N128" t="s">
        <v>69</v>
      </c>
      <c r="O128">
        <v>40</v>
      </c>
      <c r="P128">
        <v>0.4</v>
      </c>
      <c r="Q128">
        <v>80.443693988082302</v>
      </c>
      <c r="R128">
        <v>3735</v>
      </c>
      <c r="S128">
        <v>2150</v>
      </c>
      <c r="T128">
        <v>3727</v>
      </c>
      <c r="U128">
        <v>0.90526315789473599</v>
      </c>
      <c r="V128">
        <v>2155</v>
      </c>
      <c r="W128">
        <v>2295</v>
      </c>
      <c r="X128">
        <v>140</v>
      </c>
      <c r="Y128">
        <v>0.16268904539367601</v>
      </c>
      <c r="Z128">
        <v>0.183682575207086</v>
      </c>
    </row>
    <row r="129" spans="1:26" ht="34" x14ac:dyDescent="0.2">
      <c r="A129" s="13">
        <v>128</v>
      </c>
      <c r="B129" t="s">
        <v>365</v>
      </c>
      <c r="C129" s="11" t="s">
        <v>347</v>
      </c>
      <c r="D129">
        <v>0.28199999999999997</v>
      </c>
      <c r="E129" t="s">
        <v>345</v>
      </c>
      <c r="F129">
        <v>-1</v>
      </c>
      <c r="G129">
        <v>40.5</v>
      </c>
      <c r="H129">
        <v>27120</v>
      </c>
      <c r="I129">
        <v>4160</v>
      </c>
      <c r="J129">
        <v>16325</v>
      </c>
      <c r="K129" s="12">
        <v>1.2165E-8</v>
      </c>
      <c r="L129">
        <v>20</v>
      </c>
      <c r="M129">
        <v>5</v>
      </c>
      <c r="N129" t="s">
        <v>69</v>
      </c>
      <c r="O129">
        <v>40</v>
      </c>
      <c r="P129">
        <v>0.4</v>
      </c>
      <c r="Q129">
        <v>83.1276780347754</v>
      </c>
      <c r="R129">
        <v>3775</v>
      </c>
      <c r="S129">
        <v>2123</v>
      </c>
      <c r="T129">
        <v>3762</v>
      </c>
      <c r="U129">
        <v>0.76315789473684204</v>
      </c>
      <c r="V129">
        <v>2134</v>
      </c>
      <c r="W129">
        <v>2255</v>
      </c>
      <c r="X129">
        <v>121</v>
      </c>
      <c r="Y129">
        <v>0.17361139230249301</v>
      </c>
      <c r="Z129">
        <v>0.195446613300639</v>
      </c>
    </row>
    <row r="130" spans="1:26" ht="34" x14ac:dyDescent="0.2">
      <c r="A130" s="13">
        <v>129</v>
      </c>
      <c r="B130" t="s">
        <v>366</v>
      </c>
      <c r="C130" s="11" t="s">
        <v>349</v>
      </c>
      <c r="D130">
        <v>0.25800000000000001</v>
      </c>
      <c r="E130" t="s">
        <v>345</v>
      </c>
      <c r="F130">
        <v>-1</v>
      </c>
      <c r="G130">
        <v>40.5</v>
      </c>
      <c r="H130">
        <v>27120</v>
      </c>
      <c r="I130">
        <v>4180</v>
      </c>
      <c r="J130">
        <v>16288</v>
      </c>
      <c r="K130" s="12">
        <v>1.2108E-8</v>
      </c>
      <c r="L130">
        <v>20</v>
      </c>
      <c r="M130">
        <v>5</v>
      </c>
      <c r="N130" t="s">
        <v>69</v>
      </c>
      <c r="O130">
        <v>40</v>
      </c>
      <c r="P130">
        <v>0.4</v>
      </c>
      <c r="Q130">
        <v>82.350501401120198</v>
      </c>
      <c r="R130">
        <v>3763</v>
      </c>
      <c r="S130">
        <v>2146</v>
      </c>
      <c r="T130">
        <v>3750</v>
      </c>
      <c r="U130">
        <v>0.83383458646616504</v>
      </c>
      <c r="V130">
        <v>2151</v>
      </c>
      <c r="W130">
        <v>2282</v>
      </c>
      <c r="X130">
        <v>131</v>
      </c>
      <c r="Y130">
        <v>0.16849465274245001</v>
      </c>
      <c r="Z130">
        <v>0.18996173452179399</v>
      </c>
    </row>
    <row r="131" spans="1:26" ht="34" x14ac:dyDescent="0.2">
      <c r="A131" s="13">
        <v>130</v>
      </c>
      <c r="B131" t="s">
        <v>367</v>
      </c>
      <c r="C131" s="11" t="s">
        <v>351</v>
      </c>
      <c r="D131">
        <v>0.15670000000000001</v>
      </c>
      <c r="E131" t="s">
        <v>345</v>
      </c>
      <c r="F131">
        <v>-1</v>
      </c>
      <c r="G131">
        <v>40.5</v>
      </c>
      <c r="H131">
        <v>27120</v>
      </c>
      <c r="I131">
        <v>4180</v>
      </c>
      <c r="J131">
        <v>16108</v>
      </c>
      <c r="K131" s="12">
        <v>1.1927999999999999E-8</v>
      </c>
      <c r="L131">
        <v>20</v>
      </c>
      <c r="M131">
        <v>5</v>
      </c>
      <c r="N131" t="s">
        <v>69</v>
      </c>
      <c r="O131">
        <v>40</v>
      </c>
      <c r="P131">
        <v>0.4</v>
      </c>
      <c r="Q131">
        <v>79.920222460056905</v>
      </c>
      <c r="R131">
        <v>3646</v>
      </c>
      <c r="S131">
        <v>2195</v>
      </c>
      <c r="T131">
        <v>3630</v>
      </c>
      <c r="U131">
        <v>2.1030075187969901</v>
      </c>
      <c r="V131">
        <v>2198</v>
      </c>
      <c r="W131">
        <v>2431</v>
      </c>
      <c r="X131">
        <v>233</v>
      </c>
      <c r="Y131">
        <v>0.13311639002536199</v>
      </c>
      <c r="Z131">
        <v>0.15295294234446999</v>
      </c>
    </row>
    <row r="132" spans="1:26" ht="34" x14ac:dyDescent="0.2">
      <c r="A132" s="13">
        <v>131</v>
      </c>
      <c r="B132" t="s">
        <v>368</v>
      </c>
      <c r="C132" s="11" t="s">
        <v>344</v>
      </c>
      <c r="D132">
        <v>0.24099999999999999</v>
      </c>
      <c r="E132" t="s">
        <v>345</v>
      </c>
      <c r="F132">
        <v>99.9</v>
      </c>
      <c r="G132">
        <v>40.5</v>
      </c>
      <c r="H132">
        <v>27780</v>
      </c>
      <c r="I132">
        <v>4160</v>
      </c>
      <c r="J132">
        <v>12643</v>
      </c>
      <c r="K132" s="12">
        <v>8.4830000000000006E-9</v>
      </c>
      <c r="L132">
        <v>20</v>
      </c>
      <c r="M132">
        <v>6</v>
      </c>
      <c r="N132" t="s">
        <v>203</v>
      </c>
      <c r="O132">
        <v>40</v>
      </c>
      <c r="P132">
        <v>0.4</v>
      </c>
      <c r="Q132">
        <v>40.422238223329202</v>
      </c>
      <c r="R132">
        <v>2818</v>
      </c>
      <c r="S132">
        <v>2515</v>
      </c>
      <c r="T132">
        <v>2794</v>
      </c>
      <c r="U132">
        <v>4.3714285714285701</v>
      </c>
      <c r="V132">
        <v>2531</v>
      </c>
      <c r="W132">
        <v>3391</v>
      </c>
      <c r="X132">
        <v>860</v>
      </c>
      <c r="Y132">
        <v>4.5534098521736698E-2</v>
      </c>
      <c r="Z132">
        <v>4.9625288936121399E-2</v>
      </c>
    </row>
    <row r="133" spans="1:26" ht="34" x14ac:dyDescent="0.2">
      <c r="A133" s="13">
        <v>132</v>
      </c>
      <c r="B133" t="s">
        <v>369</v>
      </c>
      <c r="C133" s="11" t="s">
        <v>347</v>
      </c>
      <c r="D133">
        <v>0.28199999999999997</v>
      </c>
      <c r="E133" t="s">
        <v>345</v>
      </c>
      <c r="F133">
        <v>99.9</v>
      </c>
      <c r="G133">
        <v>40.9</v>
      </c>
      <c r="H133">
        <v>27780</v>
      </c>
      <c r="I133">
        <v>4160</v>
      </c>
      <c r="J133">
        <v>12687</v>
      </c>
      <c r="K133" s="12">
        <v>8.5269999999999992E-9</v>
      </c>
      <c r="L133">
        <v>20</v>
      </c>
      <c r="M133">
        <v>6</v>
      </c>
      <c r="N133" t="s">
        <v>203</v>
      </c>
      <c r="O133">
        <v>40</v>
      </c>
      <c r="P133">
        <v>0.4</v>
      </c>
      <c r="Q133">
        <v>40.8426534270628</v>
      </c>
      <c r="R133">
        <v>2898</v>
      </c>
      <c r="S133">
        <v>2582</v>
      </c>
      <c r="T133">
        <v>2879</v>
      </c>
      <c r="U133">
        <v>3.71804511278195</v>
      </c>
      <c r="V133">
        <v>2595</v>
      </c>
      <c r="W133">
        <v>3339</v>
      </c>
      <c r="X133">
        <v>744</v>
      </c>
      <c r="Y133">
        <v>5.2972820051691898E-2</v>
      </c>
      <c r="Z133">
        <v>5.7189374968972001E-2</v>
      </c>
    </row>
    <row r="134" spans="1:26" ht="34" x14ac:dyDescent="0.2">
      <c r="A134">
        <v>133</v>
      </c>
      <c r="B134" t="s">
        <v>370</v>
      </c>
      <c r="C134" s="11" t="s">
        <v>349</v>
      </c>
      <c r="D134">
        <v>0.25800000000000001</v>
      </c>
      <c r="E134" t="s">
        <v>345</v>
      </c>
      <c r="F134">
        <v>98.7</v>
      </c>
      <c r="G134">
        <v>40</v>
      </c>
      <c r="H134">
        <v>27780</v>
      </c>
      <c r="I134">
        <v>4160</v>
      </c>
      <c r="J134">
        <v>12588</v>
      </c>
      <c r="K134" s="12">
        <v>8.4279999999999994E-9</v>
      </c>
      <c r="L134">
        <v>20</v>
      </c>
      <c r="M134">
        <v>6</v>
      </c>
      <c r="N134" t="s">
        <v>203</v>
      </c>
      <c r="O134">
        <v>40</v>
      </c>
      <c r="P134">
        <v>0.4</v>
      </c>
      <c r="Q134">
        <v>39.899777794879803</v>
      </c>
      <c r="R134">
        <v>2863</v>
      </c>
      <c r="S134">
        <v>2559</v>
      </c>
      <c r="T134">
        <v>2842</v>
      </c>
      <c r="U134">
        <v>3.8781954887218002</v>
      </c>
      <c r="V134">
        <v>2571</v>
      </c>
      <c r="W134">
        <v>3383</v>
      </c>
      <c r="X134">
        <v>812</v>
      </c>
      <c r="Y134">
        <v>4.8302997035532799E-2</v>
      </c>
      <c r="Z134">
        <v>5.2373201107795898E-2</v>
      </c>
    </row>
    <row r="135" spans="1:26" ht="34" x14ac:dyDescent="0.2">
      <c r="A135">
        <v>134</v>
      </c>
      <c r="B135" t="s">
        <v>371</v>
      </c>
      <c r="C135" s="11" t="s">
        <v>351</v>
      </c>
      <c r="D135">
        <v>0.15670000000000001</v>
      </c>
      <c r="E135" t="s">
        <v>345</v>
      </c>
      <c r="F135">
        <v>99.9</v>
      </c>
      <c r="G135">
        <v>40.4</v>
      </c>
      <c r="H135">
        <v>27780</v>
      </c>
      <c r="I135">
        <v>4100</v>
      </c>
      <c r="J135">
        <v>12576</v>
      </c>
      <c r="K135" s="12">
        <v>8.4759999999999993E-9</v>
      </c>
      <c r="L135">
        <v>20</v>
      </c>
      <c r="M135">
        <v>6</v>
      </c>
      <c r="N135" t="s">
        <v>203</v>
      </c>
      <c r="O135">
        <v>40</v>
      </c>
      <c r="P135">
        <v>0.4</v>
      </c>
      <c r="Q135">
        <v>40.355554521120801</v>
      </c>
      <c r="R135">
        <v>2450</v>
      </c>
      <c r="S135">
        <v>2295</v>
      </c>
      <c r="T135">
        <v>2431</v>
      </c>
      <c r="U135">
        <v>6.6639097744360898</v>
      </c>
      <c r="V135">
        <v>2327</v>
      </c>
      <c r="W135">
        <v>3419</v>
      </c>
      <c r="X135">
        <v>1092</v>
      </c>
      <c r="Y135">
        <v>3.1888149727775698E-2</v>
      </c>
      <c r="Z135">
        <v>3.3952766880593697E-2</v>
      </c>
    </row>
  </sheetData>
  <autoFilter ref="A1:AJ135" xr:uid="{A5FBB76E-4209-E245-8100-CB1126F30182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D06B-7009-D646-954D-94660DE6813B}">
  <dimension ref="B3:N85"/>
  <sheetViews>
    <sheetView workbookViewId="0">
      <selection activeCell="C56" sqref="C56:F56"/>
    </sheetView>
  </sheetViews>
  <sheetFormatPr baseColWidth="10" defaultRowHeight="16" x14ac:dyDescent="0.2"/>
  <sheetData>
    <row r="3" spans="2:14" x14ac:dyDescent="0.2">
      <c r="H3" t="s">
        <v>228</v>
      </c>
      <c r="I3" t="s">
        <v>229</v>
      </c>
      <c r="J3" t="s">
        <v>230</v>
      </c>
    </row>
    <row r="4" spans="2:14" x14ac:dyDescent="0.2">
      <c r="C4" t="s">
        <v>225</v>
      </c>
      <c r="E4" s="1"/>
      <c r="H4">
        <v>1</v>
      </c>
      <c r="I4">
        <f>(H4^0.5)*0.109-0.179</f>
        <v>-6.9999999999999993E-2</v>
      </c>
      <c r="J4">
        <f>K4+H4*L4+M4*(H4^2)+N4*(H4^3)</f>
        <v>-2.4345699999999998E-2</v>
      </c>
      <c r="K4" s="12">
        <v>-5.2999999999999999E-2</v>
      </c>
      <c r="L4" s="12">
        <v>2.92E-2</v>
      </c>
      <c r="M4" s="12">
        <v>-5.5000000000000003E-4</v>
      </c>
      <c r="N4" s="12">
        <v>4.3000000000000003E-6</v>
      </c>
    </row>
    <row r="5" spans="2:14" x14ac:dyDescent="0.2">
      <c r="C5" t="s">
        <v>148</v>
      </c>
      <c r="D5" t="s">
        <v>226</v>
      </c>
      <c r="E5" t="s">
        <v>227</v>
      </c>
      <c r="H5">
        <f>1+H4</f>
        <v>2</v>
      </c>
      <c r="I5">
        <f t="shared" ref="I5:I68" si="0">(H5^0.5)*0.109-0.179</f>
        <v>-2.4850721701332623E-2</v>
      </c>
      <c r="J5" s="12">
        <f>K5+H5*L5+M5*(H5^2)+N5*(H5^3)</f>
        <v>3.2344000000000019E-3</v>
      </c>
      <c r="K5" s="12">
        <v>-5.2999999999999999E-2</v>
      </c>
      <c r="L5" s="12">
        <v>2.92E-2</v>
      </c>
      <c r="M5" s="12">
        <v>-5.5000000000000003E-4</v>
      </c>
      <c r="N5" s="12">
        <v>4.3000000000000003E-6</v>
      </c>
    </row>
    <row r="6" spans="2:14" x14ac:dyDescent="0.2">
      <c r="C6">
        <v>2</v>
      </c>
      <c r="D6">
        <v>0</v>
      </c>
      <c r="H6">
        <f t="shared" ref="H6:H69" si="1">1+H5</f>
        <v>3</v>
      </c>
      <c r="I6">
        <f t="shared" si="0"/>
        <v>9.7935380250076254E-3</v>
      </c>
      <c r="J6">
        <f t="shared" ref="J6:J69" si="2">K6+H6*L6+M6*(H6^2)+N6*(H6^3)</f>
        <v>2.97661E-2</v>
      </c>
      <c r="K6" s="12">
        <v>-5.2999999999999999E-2</v>
      </c>
      <c r="L6" s="12">
        <v>2.92E-2</v>
      </c>
      <c r="M6" s="12">
        <v>-5.5000000000000003E-4</v>
      </c>
      <c r="N6" s="12">
        <v>4.3000000000000003E-6</v>
      </c>
    </row>
    <row r="7" spans="2:14" x14ac:dyDescent="0.2">
      <c r="B7">
        <f>C7-C6</f>
        <v>1.7000000000000002</v>
      </c>
      <c r="C7">
        <v>3.7</v>
      </c>
      <c r="D7">
        <v>5</v>
      </c>
      <c r="E7" s="1"/>
      <c r="H7">
        <f t="shared" si="1"/>
        <v>4</v>
      </c>
      <c r="I7">
        <f t="shared" si="0"/>
        <v>3.9000000000000007E-2</v>
      </c>
      <c r="J7">
        <f t="shared" si="2"/>
        <v>5.5275199999999997E-2</v>
      </c>
      <c r="K7" s="12">
        <v>-5.2999999999999999E-2</v>
      </c>
      <c r="L7" s="12">
        <v>2.92E-2</v>
      </c>
      <c r="M7" s="12">
        <v>-5.5000000000000003E-4</v>
      </c>
      <c r="N7" s="12">
        <v>4.3000000000000003E-6</v>
      </c>
    </row>
    <row r="8" spans="2:14" x14ac:dyDescent="0.2">
      <c r="B8">
        <f t="shared" ref="B8:B25" si="3">C8-C7</f>
        <v>1.7999999999999998</v>
      </c>
      <c r="C8">
        <v>5.5</v>
      </c>
      <c r="D8">
        <v>10</v>
      </c>
      <c r="H8">
        <f t="shared" si="1"/>
        <v>5</v>
      </c>
      <c r="I8">
        <f t="shared" si="0"/>
        <v>6.4731409547477109E-2</v>
      </c>
      <c r="J8">
        <f t="shared" si="2"/>
        <v>7.9787499999999997E-2</v>
      </c>
      <c r="K8" s="12">
        <v>-5.2999999999999999E-2</v>
      </c>
      <c r="L8" s="12">
        <v>2.92E-2</v>
      </c>
      <c r="M8" s="12">
        <v>-5.5000000000000003E-4</v>
      </c>
      <c r="N8" s="12">
        <v>4.3000000000000003E-6</v>
      </c>
    </row>
    <row r="9" spans="2:14" x14ac:dyDescent="0.2">
      <c r="B9">
        <f t="shared" si="3"/>
        <v>1.9000000000000004</v>
      </c>
      <c r="C9">
        <v>7.4</v>
      </c>
      <c r="D9">
        <v>15</v>
      </c>
      <c r="H9">
        <f t="shared" si="1"/>
        <v>6</v>
      </c>
      <c r="I9">
        <f t="shared" si="0"/>
        <v>8.7994381963366397E-2</v>
      </c>
      <c r="J9">
        <f t="shared" si="2"/>
        <v>0.1033288</v>
      </c>
      <c r="K9" s="12">
        <v>-5.2999999999999999E-2</v>
      </c>
      <c r="L9" s="12">
        <v>2.92E-2</v>
      </c>
      <c r="M9" s="12">
        <v>-5.5000000000000003E-4</v>
      </c>
      <c r="N9" s="12">
        <v>4.3000000000000003E-6</v>
      </c>
    </row>
    <row r="10" spans="2:14" x14ac:dyDescent="0.2">
      <c r="B10">
        <f t="shared" si="3"/>
        <v>2</v>
      </c>
      <c r="C10">
        <v>9.4</v>
      </c>
      <c r="D10">
        <v>20</v>
      </c>
      <c r="E10" s="1"/>
      <c r="H10">
        <f t="shared" si="1"/>
        <v>7</v>
      </c>
      <c r="I10">
        <f t="shared" si="0"/>
        <v>0.10938689290604037</v>
      </c>
      <c r="J10">
        <f t="shared" si="2"/>
        <v>0.12592490000000001</v>
      </c>
      <c r="K10" s="12">
        <v>-5.2999999999999999E-2</v>
      </c>
      <c r="L10" s="12">
        <v>2.92E-2</v>
      </c>
      <c r="M10" s="12">
        <v>-5.5000000000000003E-4</v>
      </c>
      <c r="N10" s="12">
        <v>4.3000000000000003E-6</v>
      </c>
    </row>
    <row r="11" spans="2:14" x14ac:dyDescent="0.2">
      <c r="B11">
        <f t="shared" si="3"/>
        <v>2</v>
      </c>
      <c r="C11">
        <v>11.4</v>
      </c>
      <c r="D11">
        <v>25</v>
      </c>
      <c r="H11">
        <f t="shared" si="1"/>
        <v>8</v>
      </c>
      <c r="I11">
        <f t="shared" si="0"/>
        <v>0.12929855659733475</v>
      </c>
      <c r="J11">
        <f t="shared" si="2"/>
        <v>0.1476016</v>
      </c>
      <c r="K11" s="12">
        <v>-5.2999999999999999E-2</v>
      </c>
      <c r="L11" s="12">
        <v>2.92E-2</v>
      </c>
      <c r="M11" s="12">
        <v>-5.5000000000000003E-4</v>
      </c>
      <c r="N11" s="12">
        <v>4.3000000000000003E-6</v>
      </c>
    </row>
    <row r="12" spans="2:14" x14ac:dyDescent="0.2">
      <c r="B12">
        <f t="shared" si="3"/>
        <v>2.0999999999999996</v>
      </c>
      <c r="C12">
        <v>13.5</v>
      </c>
      <c r="D12">
        <v>30</v>
      </c>
      <c r="H12">
        <f t="shared" si="1"/>
        <v>9</v>
      </c>
      <c r="I12">
        <f t="shared" si="0"/>
        <v>0.14800000000000002</v>
      </c>
      <c r="J12">
        <f t="shared" si="2"/>
        <v>0.16838469999999997</v>
      </c>
      <c r="K12" s="12">
        <v>-5.2999999999999999E-2</v>
      </c>
      <c r="L12" s="12">
        <v>2.92E-2</v>
      </c>
      <c r="M12" s="12">
        <v>-5.5000000000000003E-4</v>
      </c>
      <c r="N12" s="12">
        <v>4.3000000000000003E-6</v>
      </c>
    </row>
    <row r="13" spans="2:14" x14ac:dyDescent="0.2">
      <c r="B13">
        <f t="shared" si="3"/>
        <v>2.0999999999999996</v>
      </c>
      <c r="C13">
        <v>15.6</v>
      </c>
      <c r="D13">
        <v>35</v>
      </c>
      <c r="E13" s="1"/>
      <c r="H13">
        <f t="shared" si="1"/>
        <v>10</v>
      </c>
      <c r="I13">
        <f t="shared" si="0"/>
        <v>0.16568826495835337</v>
      </c>
      <c r="J13">
        <f t="shared" si="2"/>
        <v>0.1883</v>
      </c>
      <c r="K13" s="12">
        <v>-5.2999999999999999E-2</v>
      </c>
      <c r="L13" s="12">
        <v>2.92E-2</v>
      </c>
      <c r="M13" s="12">
        <v>-5.5000000000000003E-4</v>
      </c>
      <c r="N13" s="12">
        <v>4.3000000000000003E-6</v>
      </c>
    </row>
    <row r="14" spans="2:14" x14ac:dyDescent="0.2">
      <c r="B14">
        <f t="shared" si="3"/>
        <v>2.0999999999999996</v>
      </c>
      <c r="C14">
        <v>17.7</v>
      </c>
      <c r="D14">
        <v>40</v>
      </c>
      <c r="H14">
        <f t="shared" si="1"/>
        <v>11</v>
      </c>
      <c r="I14">
        <f t="shared" si="0"/>
        <v>0.18251210214873859</v>
      </c>
      <c r="J14">
        <f t="shared" si="2"/>
        <v>0.20737329999999998</v>
      </c>
      <c r="K14" s="12">
        <v>-5.2999999999999999E-2</v>
      </c>
      <c r="L14" s="12">
        <v>2.92E-2</v>
      </c>
      <c r="M14" s="12">
        <v>-5.5000000000000003E-4</v>
      </c>
      <c r="N14" s="12">
        <v>4.3000000000000003E-6</v>
      </c>
    </row>
    <row r="15" spans="2:14" x14ac:dyDescent="0.2">
      <c r="B15">
        <f t="shared" si="3"/>
        <v>2.1999999999999993</v>
      </c>
      <c r="C15">
        <v>19.899999999999999</v>
      </c>
      <c r="D15">
        <v>45</v>
      </c>
      <c r="H15">
        <f t="shared" si="1"/>
        <v>12</v>
      </c>
      <c r="I15">
        <f t="shared" si="0"/>
        <v>0.19858707605001524</v>
      </c>
      <c r="J15">
        <f t="shared" si="2"/>
        <v>0.22563040000000001</v>
      </c>
      <c r="K15" s="12">
        <v>-5.2999999999999999E-2</v>
      </c>
      <c r="L15" s="12">
        <v>2.92E-2</v>
      </c>
      <c r="M15" s="12">
        <v>-5.5000000000000003E-4</v>
      </c>
      <c r="N15" s="12">
        <v>4.3000000000000003E-6</v>
      </c>
    </row>
    <row r="16" spans="2:14" x14ac:dyDescent="0.2">
      <c r="B16">
        <f t="shared" si="3"/>
        <v>2.1000000000000014</v>
      </c>
      <c r="C16">
        <v>22</v>
      </c>
      <c r="D16">
        <v>50</v>
      </c>
      <c r="E16" s="1"/>
      <c r="H16">
        <f t="shared" si="1"/>
        <v>13</v>
      </c>
      <c r="I16">
        <f t="shared" si="0"/>
        <v>0.2140050890255748</v>
      </c>
      <c r="J16">
        <f t="shared" si="2"/>
        <v>0.24309710000000001</v>
      </c>
      <c r="K16" s="12">
        <v>-5.2999999999999999E-2</v>
      </c>
      <c r="L16" s="12">
        <v>2.92E-2</v>
      </c>
      <c r="M16" s="12">
        <v>-5.5000000000000003E-4</v>
      </c>
      <c r="N16" s="12">
        <v>4.3000000000000003E-6</v>
      </c>
    </row>
    <row r="17" spans="2:14" x14ac:dyDescent="0.2">
      <c r="B17">
        <f t="shared" si="3"/>
        <v>2.1999999999999993</v>
      </c>
      <c r="C17">
        <v>24.2</v>
      </c>
      <c r="D17">
        <v>55</v>
      </c>
      <c r="H17">
        <f t="shared" si="1"/>
        <v>14</v>
      </c>
      <c r="I17">
        <f t="shared" si="0"/>
        <v>0.22884065515835961</v>
      </c>
      <c r="J17">
        <f t="shared" si="2"/>
        <v>0.25979920000000001</v>
      </c>
      <c r="K17" s="12">
        <v>-5.2999999999999999E-2</v>
      </c>
      <c r="L17" s="12">
        <v>2.92E-2</v>
      </c>
      <c r="M17" s="12">
        <v>-5.5000000000000003E-4</v>
      </c>
      <c r="N17" s="12">
        <v>4.3000000000000003E-6</v>
      </c>
    </row>
    <row r="18" spans="2:14" x14ac:dyDescent="0.2">
      <c r="B18">
        <f t="shared" si="3"/>
        <v>2.1000000000000014</v>
      </c>
      <c r="C18">
        <v>26.3</v>
      </c>
      <c r="D18">
        <v>60</v>
      </c>
      <c r="H18">
        <f t="shared" si="1"/>
        <v>15</v>
      </c>
      <c r="I18">
        <f t="shared" si="0"/>
        <v>0.24315518473660847</v>
      </c>
      <c r="J18">
        <f t="shared" si="2"/>
        <v>0.27576249999999997</v>
      </c>
      <c r="K18" s="12">
        <v>-5.2999999999999999E-2</v>
      </c>
      <c r="L18" s="12">
        <v>2.92E-2</v>
      </c>
      <c r="M18" s="12">
        <v>-5.5000000000000003E-4</v>
      </c>
      <c r="N18" s="12">
        <v>4.3000000000000003E-6</v>
      </c>
    </row>
    <row r="19" spans="2:14" x14ac:dyDescent="0.2">
      <c r="B19">
        <f t="shared" si="3"/>
        <v>2</v>
      </c>
      <c r="C19">
        <v>28.3</v>
      </c>
      <c r="D19">
        <v>65</v>
      </c>
      <c r="E19" s="1"/>
      <c r="H19">
        <v>16</v>
      </c>
      <c r="I19">
        <f t="shared" si="0"/>
        <v>0.25700000000000001</v>
      </c>
      <c r="J19">
        <f t="shared" si="2"/>
        <v>0.29101279999999996</v>
      </c>
      <c r="K19" s="12">
        <v>-5.2999999999999999E-2</v>
      </c>
      <c r="L19" s="12">
        <v>2.92E-2</v>
      </c>
      <c r="M19" s="12">
        <v>-5.5000000000000003E-4</v>
      </c>
      <c r="N19" s="12">
        <v>4.3000000000000003E-6</v>
      </c>
    </row>
    <row r="20" spans="2:14" x14ac:dyDescent="0.2">
      <c r="B20">
        <f t="shared" si="3"/>
        <v>2</v>
      </c>
      <c r="C20">
        <v>30.3</v>
      </c>
      <c r="D20">
        <v>70</v>
      </c>
      <c r="E20" s="1"/>
      <c r="H20">
        <f t="shared" si="1"/>
        <v>17</v>
      </c>
      <c r="I20">
        <f t="shared" si="0"/>
        <v>0.27041851319232502</v>
      </c>
      <c r="J20">
        <f t="shared" si="2"/>
        <v>0.30557590000000001</v>
      </c>
      <c r="K20" s="12">
        <v>-5.2999999999999999E-2</v>
      </c>
      <c r="L20" s="12">
        <v>2.92E-2</v>
      </c>
      <c r="M20" s="12">
        <v>-5.5000000000000003E-4</v>
      </c>
      <c r="N20" s="12">
        <v>4.3000000000000003E-6</v>
      </c>
    </row>
    <row r="21" spans="2:14" x14ac:dyDescent="0.2">
      <c r="B21">
        <f t="shared" si="3"/>
        <v>1.9999999999999964</v>
      </c>
      <c r="C21">
        <v>32.299999999999997</v>
      </c>
      <c r="D21">
        <v>75</v>
      </c>
      <c r="H21">
        <f t="shared" si="1"/>
        <v>18</v>
      </c>
      <c r="I21">
        <f t="shared" si="0"/>
        <v>0.28344783489600206</v>
      </c>
      <c r="J21">
        <f t="shared" si="2"/>
        <v>0.31947759999999997</v>
      </c>
      <c r="K21" s="12">
        <v>-5.2999999999999999E-2</v>
      </c>
      <c r="L21" s="12">
        <v>2.92E-2</v>
      </c>
      <c r="M21" s="12">
        <v>-5.5000000000000003E-4</v>
      </c>
      <c r="N21" s="12">
        <v>4.3000000000000003E-6</v>
      </c>
    </row>
    <row r="22" spans="2:14" x14ac:dyDescent="0.2">
      <c r="B22">
        <f t="shared" si="3"/>
        <v>1.8000000000000043</v>
      </c>
      <c r="C22">
        <v>34.1</v>
      </c>
      <c r="D22">
        <v>80</v>
      </c>
      <c r="H22">
        <f t="shared" si="1"/>
        <v>19</v>
      </c>
      <c r="I22">
        <f t="shared" si="0"/>
        <v>0.29611998484593349</v>
      </c>
      <c r="J22">
        <f t="shared" si="2"/>
        <v>0.33274369999999992</v>
      </c>
      <c r="K22" s="12">
        <v>-5.2999999999999999E-2</v>
      </c>
      <c r="L22" s="12">
        <v>2.92E-2</v>
      </c>
      <c r="M22" s="12">
        <v>-5.5000000000000003E-4</v>
      </c>
      <c r="N22" s="12">
        <v>4.3000000000000003E-6</v>
      </c>
    </row>
    <row r="23" spans="2:14" x14ac:dyDescent="0.2">
      <c r="B23">
        <f t="shared" si="3"/>
        <v>1.6999999999999957</v>
      </c>
      <c r="C23">
        <v>35.799999999999997</v>
      </c>
      <c r="D23">
        <v>85</v>
      </c>
      <c r="E23" s="1"/>
      <c r="H23">
        <f t="shared" si="1"/>
        <v>20</v>
      </c>
      <c r="I23">
        <f t="shared" si="0"/>
        <v>0.30846281909495421</v>
      </c>
      <c r="J23">
        <f t="shared" si="2"/>
        <v>0.34539999999999993</v>
      </c>
      <c r="K23" s="12">
        <v>-5.2999999999999999E-2</v>
      </c>
      <c r="L23" s="12">
        <v>2.92E-2</v>
      </c>
      <c r="M23" s="12">
        <v>-5.5000000000000003E-4</v>
      </c>
      <c r="N23" s="12">
        <v>4.3000000000000003E-6</v>
      </c>
    </row>
    <row r="24" spans="2:14" x14ac:dyDescent="0.2">
      <c r="B24">
        <f t="shared" si="3"/>
        <v>1.6000000000000014</v>
      </c>
      <c r="C24">
        <v>37.4</v>
      </c>
      <c r="D24">
        <v>90</v>
      </c>
      <c r="H24">
        <f t="shared" si="1"/>
        <v>21</v>
      </c>
      <c r="I24">
        <f t="shared" si="0"/>
        <v>0.32050075075018652</v>
      </c>
      <c r="J24">
        <f t="shared" si="2"/>
        <v>0.35747229999999985</v>
      </c>
      <c r="K24" s="12">
        <v>-5.2999999999999999E-2</v>
      </c>
      <c r="L24" s="12">
        <v>2.92E-2</v>
      </c>
      <c r="M24" s="12">
        <v>-5.5000000000000003E-4</v>
      </c>
      <c r="N24" s="12">
        <v>4.3000000000000003E-6</v>
      </c>
    </row>
    <row r="25" spans="2:14" x14ac:dyDescent="0.2">
      <c r="B25">
        <f t="shared" si="3"/>
        <v>2.8999999999999986</v>
      </c>
      <c r="C25">
        <v>40.299999999999997</v>
      </c>
      <c r="D25">
        <v>99.9</v>
      </c>
      <c r="H25">
        <f t="shared" si="1"/>
        <v>22</v>
      </c>
      <c r="I25">
        <f t="shared" si="0"/>
        <v>0.33225531782075385</v>
      </c>
      <c r="J25">
        <f t="shared" si="2"/>
        <v>0.36898639999999994</v>
      </c>
      <c r="K25" s="12">
        <v>-5.2999999999999999E-2</v>
      </c>
      <c r="L25" s="12">
        <v>2.92E-2</v>
      </c>
      <c r="M25" s="12">
        <v>-5.5000000000000003E-4</v>
      </c>
      <c r="N25" s="12">
        <v>4.3000000000000003E-6</v>
      </c>
    </row>
    <row r="26" spans="2:14" x14ac:dyDescent="0.2">
      <c r="E26" s="1"/>
      <c r="H26">
        <f t="shared" si="1"/>
        <v>23</v>
      </c>
      <c r="I26">
        <f t="shared" si="0"/>
        <v>0.34374563604108638</v>
      </c>
      <c r="J26">
        <f t="shared" si="2"/>
        <v>0.37996809999999992</v>
      </c>
      <c r="K26" s="12">
        <v>-5.2999999999999999E-2</v>
      </c>
      <c r="L26" s="12">
        <v>2.92E-2</v>
      </c>
      <c r="M26" s="12">
        <v>-5.5000000000000003E-4</v>
      </c>
      <c r="N26" s="12">
        <v>4.3000000000000003E-6</v>
      </c>
    </row>
    <row r="27" spans="2:14" x14ac:dyDescent="0.2">
      <c r="H27">
        <f t="shared" si="1"/>
        <v>24</v>
      </c>
      <c r="I27">
        <f t="shared" si="0"/>
        <v>0.35498876392673279</v>
      </c>
      <c r="J27">
        <f t="shared" si="2"/>
        <v>0.39044319999999988</v>
      </c>
      <c r="K27" s="12">
        <v>-5.2999999999999999E-2</v>
      </c>
      <c r="L27" s="12">
        <v>2.92E-2</v>
      </c>
      <c r="M27" s="12">
        <v>-5.5000000000000003E-4</v>
      </c>
      <c r="N27" s="12">
        <v>4.3000000000000003E-6</v>
      </c>
    </row>
    <row r="28" spans="2:14" x14ac:dyDescent="0.2">
      <c r="C28" t="s">
        <v>44</v>
      </c>
      <c r="D28">
        <f>RSQ(D6:D25,C6:C25)</f>
        <v>0.99843112938134604</v>
      </c>
      <c r="H28">
        <f t="shared" si="1"/>
        <v>25</v>
      </c>
      <c r="I28">
        <f t="shared" si="0"/>
        <v>0.36600000000000005</v>
      </c>
      <c r="J28">
        <f t="shared" si="2"/>
        <v>0.40043749999999995</v>
      </c>
      <c r="K28" s="12">
        <v>-5.2999999999999999E-2</v>
      </c>
      <c r="L28" s="12">
        <v>2.92E-2</v>
      </c>
      <c r="M28" s="12">
        <v>-5.5000000000000003E-4</v>
      </c>
      <c r="N28" s="12">
        <v>4.3000000000000003E-6</v>
      </c>
    </row>
    <row r="29" spans="2:14" x14ac:dyDescent="0.2">
      <c r="E29" s="1"/>
      <c r="H29">
        <f t="shared" si="1"/>
        <v>26</v>
      </c>
      <c r="I29">
        <f t="shared" si="0"/>
        <v>0.37679312698161355</v>
      </c>
      <c r="J29">
        <f t="shared" si="2"/>
        <v>0.40997679999999992</v>
      </c>
      <c r="K29" s="12">
        <v>-5.2999999999999999E-2</v>
      </c>
      <c r="L29" s="12">
        <v>2.92E-2</v>
      </c>
      <c r="M29" s="12">
        <v>-5.5000000000000003E-4</v>
      </c>
      <c r="N29" s="12">
        <v>4.3000000000000003E-6</v>
      </c>
    </row>
    <row r="30" spans="2:14" x14ac:dyDescent="0.2">
      <c r="H30">
        <f t="shared" si="1"/>
        <v>27</v>
      </c>
      <c r="I30">
        <f t="shared" si="0"/>
        <v>0.38738061407502294</v>
      </c>
      <c r="J30">
        <f t="shared" si="2"/>
        <v>0.41908689999999993</v>
      </c>
      <c r="K30" s="12">
        <v>-5.2999999999999999E-2</v>
      </c>
      <c r="L30" s="12">
        <v>2.92E-2</v>
      </c>
      <c r="M30" s="12">
        <v>-5.5000000000000003E-4</v>
      </c>
      <c r="N30" s="12">
        <v>4.3000000000000003E-6</v>
      </c>
    </row>
    <row r="31" spans="2:14" x14ac:dyDescent="0.2">
      <c r="H31">
        <f t="shared" si="1"/>
        <v>28</v>
      </c>
      <c r="I31">
        <f t="shared" si="0"/>
        <v>0.39777378581208073</v>
      </c>
      <c r="J31">
        <f t="shared" si="2"/>
        <v>0.42779359999999994</v>
      </c>
      <c r="K31" s="12">
        <v>-5.2999999999999999E-2</v>
      </c>
      <c r="L31" s="12">
        <v>2.92E-2</v>
      </c>
      <c r="M31" s="12">
        <v>-5.5000000000000003E-4</v>
      </c>
      <c r="N31" s="12">
        <v>4.3000000000000003E-6</v>
      </c>
    </row>
    <row r="32" spans="2:14" x14ac:dyDescent="0.2">
      <c r="E32" s="1"/>
      <c r="H32">
        <f t="shared" si="1"/>
        <v>29</v>
      </c>
      <c r="I32">
        <f t="shared" si="0"/>
        <v>0.40798296397766093</v>
      </c>
      <c r="J32">
        <f t="shared" si="2"/>
        <v>0.43612269999999997</v>
      </c>
      <c r="K32" s="12">
        <v>-5.2999999999999999E-2</v>
      </c>
      <c r="L32" s="12">
        <v>2.92E-2</v>
      </c>
      <c r="M32" s="12">
        <v>-5.5000000000000003E-4</v>
      </c>
      <c r="N32" s="12">
        <v>4.3000000000000003E-6</v>
      </c>
    </row>
    <row r="33" spans="5:14" x14ac:dyDescent="0.2">
      <c r="H33">
        <f t="shared" si="1"/>
        <v>30</v>
      </c>
      <c r="I33">
        <f t="shared" si="0"/>
        <v>0.41801758768063108</v>
      </c>
      <c r="J33">
        <f t="shared" si="2"/>
        <v>0.44409999999999994</v>
      </c>
      <c r="K33" s="12">
        <v>-5.2999999999999999E-2</v>
      </c>
      <c r="L33" s="12">
        <v>2.92E-2</v>
      </c>
      <c r="M33" s="12">
        <v>-5.5000000000000003E-4</v>
      </c>
      <c r="N33" s="12">
        <v>4.3000000000000003E-6</v>
      </c>
    </row>
    <row r="34" spans="5:14" x14ac:dyDescent="0.2">
      <c r="H34">
        <f t="shared" si="1"/>
        <v>31</v>
      </c>
      <c r="I34">
        <f t="shared" si="0"/>
        <v>0.4278863155484724</v>
      </c>
      <c r="J34">
        <f t="shared" si="2"/>
        <v>0.45175129999999986</v>
      </c>
      <c r="K34" s="12">
        <v>-5.2999999999999999E-2</v>
      </c>
      <c r="L34" s="12">
        <v>2.92E-2</v>
      </c>
      <c r="M34" s="12">
        <v>-5.5000000000000003E-4</v>
      </c>
      <c r="N34" s="12">
        <v>4.3000000000000003E-6</v>
      </c>
    </row>
    <row r="35" spans="5:14" x14ac:dyDescent="0.2">
      <c r="E35" s="1"/>
      <c r="H35">
        <f t="shared" si="1"/>
        <v>32</v>
      </c>
      <c r="I35">
        <f t="shared" si="0"/>
        <v>0.43759711319466948</v>
      </c>
      <c r="J35">
        <f t="shared" si="2"/>
        <v>0.45910239999999991</v>
      </c>
      <c r="K35" s="12">
        <v>-5.2999999999999999E-2</v>
      </c>
      <c r="L35" s="12">
        <v>2.92E-2</v>
      </c>
      <c r="M35" s="12">
        <v>-5.5000000000000003E-4</v>
      </c>
      <c r="N35" s="12">
        <v>4.3000000000000003E-6</v>
      </c>
    </row>
    <row r="36" spans="5:14" x14ac:dyDescent="0.2">
      <c r="H36">
        <f t="shared" si="1"/>
        <v>33</v>
      </c>
      <c r="I36">
        <f t="shared" si="0"/>
        <v>0.44715732847264517</v>
      </c>
      <c r="J36">
        <f t="shared" si="2"/>
        <v>0.46617909999999996</v>
      </c>
      <c r="K36" s="12">
        <v>-5.2999999999999999E-2</v>
      </c>
      <c r="L36" s="12">
        <v>2.92E-2</v>
      </c>
      <c r="M36" s="12">
        <v>-5.5000000000000003E-4</v>
      </c>
      <c r="N36" s="12">
        <v>4.3000000000000003E-6</v>
      </c>
    </row>
    <row r="37" spans="5:14" x14ac:dyDescent="0.2">
      <c r="H37">
        <f t="shared" si="1"/>
        <v>34</v>
      </c>
      <c r="I37">
        <f t="shared" si="0"/>
        <v>0.45657375653813775</v>
      </c>
      <c r="J37">
        <f t="shared" si="2"/>
        <v>0.47300719999999996</v>
      </c>
      <c r="K37" s="12">
        <v>-5.2999999999999999E-2</v>
      </c>
      <c r="L37" s="12">
        <v>2.92E-2</v>
      </c>
      <c r="M37" s="12">
        <v>-5.5000000000000003E-4</v>
      </c>
      <c r="N37" s="12">
        <v>4.3000000000000003E-6</v>
      </c>
    </row>
    <row r="38" spans="5:14" x14ac:dyDescent="0.2">
      <c r="E38" s="1"/>
      <c r="H38">
        <f t="shared" si="1"/>
        <v>35</v>
      </c>
      <c r="I38">
        <f t="shared" si="0"/>
        <v>0.46585269635785814</v>
      </c>
      <c r="J38">
        <f t="shared" si="2"/>
        <v>0.47961249999999989</v>
      </c>
      <c r="K38" s="12">
        <v>-5.2999999999999999E-2</v>
      </c>
      <c r="L38" s="12">
        <v>2.92E-2</v>
      </c>
      <c r="M38" s="12">
        <v>-5.5000000000000003E-4</v>
      </c>
      <c r="N38" s="12">
        <v>4.3000000000000003E-6</v>
      </c>
    </row>
    <row r="39" spans="5:14" x14ac:dyDescent="0.2">
      <c r="H39">
        <f t="shared" si="1"/>
        <v>36</v>
      </c>
      <c r="I39">
        <f t="shared" si="0"/>
        <v>0.47500000000000003</v>
      </c>
      <c r="J39">
        <f t="shared" si="2"/>
        <v>0.48602079999999992</v>
      </c>
      <c r="K39" s="12">
        <v>-5.2999999999999999E-2</v>
      </c>
      <c r="L39" s="12">
        <v>2.92E-2</v>
      </c>
      <c r="M39" s="12">
        <v>-5.5000000000000003E-4</v>
      </c>
      <c r="N39" s="12">
        <v>4.3000000000000003E-6</v>
      </c>
    </row>
    <row r="40" spans="5:14" x14ac:dyDescent="0.2">
      <c r="H40">
        <f t="shared" si="1"/>
        <v>37</v>
      </c>
      <c r="I40">
        <f t="shared" si="0"/>
        <v>0.4840211158025059</v>
      </c>
      <c r="J40">
        <f t="shared" si="2"/>
        <v>0.49225790000000014</v>
      </c>
      <c r="K40" s="12">
        <v>-5.2999999999999999E-2</v>
      </c>
      <c r="L40" s="12">
        <v>2.92E-2</v>
      </c>
      <c r="M40" s="12">
        <v>-5.5000000000000003E-4</v>
      </c>
      <c r="N40" s="12">
        <v>4.3000000000000003E-6</v>
      </c>
    </row>
    <row r="41" spans="5:14" x14ac:dyDescent="0.2">
      <c r="E41" s="1"/>
      <c r="H41">
        <f t="shared" si="1"/>
        <v>38</v>
      </c>
      <c r="I41">
        <f t="shared" si="0"/>
        <v>0.49292112632361834</v>
      </c>
      <c r="J41">
        <f t="shared" si="2"/>
        <v>0.49834959999999995</v>
      </c>
      <c r="K41" s="12">
        <v>-5.2999999999999999E-2</v>
      </c>
      <c r="L41" s="12">
        <v>2.92E-2</v>
      </c>
      <c r="M41" s="12">
        <v>-5.5000000000000003E-4</v>
      </c>
      <c r="N41" s="12">
        <v>4.3000000000000003E-6</v>
      </c>
    </row>
    <row r="42" spans="5:14" x14ac:dyDescent="0.2">
      <c r="H42">
        <f t="shared" si="1"/>
        <v>39</v>
      </c>
      <c r="I42">
        <f t="shared" si="0"/>
        <v>0.50170478182542544</v>
      </c>
      <c r="J42">
        <f t="shared" si="2"/>
        <v>0.50432170000000009</v>
      </c>
      <c r="K42" s="12">
        <v>-5.2999999999999999E-2</v>
      </c>
      <c r="L42" s="12">
        <v>2.92E-2</v>
      </c>
      <c r="M42" s="12">
        <v>-5.5000000000000003E-4</v>
      </c>
      <c r="N42" s="12">
        <v>4.3000000000000003E-6</v>
      </c>
    </row>
    <row r="43" spans="5:14" x14ac:dyDescent="0.2">
      <c r="H43">
        <f t="shared" si="1"/>
        <v>40</v>
      </c>
      <c r="I43">
        <f t="shared" si="0"/>
        <v>0.51037652991670668</v>
      </c>
      <c r="J43">
        <f t="shared" si="2"/>
        <v>0.51019999999999999</v>
      </c>
      <c r="K43" s="12">
        <v>-5.2999999999999999E-2</v>
      </c>
      <c r="L43" s="12">
        <v>2.92E-2</v>
      </c>
      <c r="M43" s="12">
        <v>-5.5000000000000003E-4</v>
      </c>
      <c r="N43" s="12">
        <v>4.3000000000000003E-6</v>
      </c>
    </row>
    <row r="44" spans="5:14" x14ac:dyDescent="0.2">
      <c r="E44" s="1"/>
      <c r="H44">
        <f t="shared" si="1"/>
        <v>41</v>
      </c>
      <c r="I44">
        <f t="shared" si="0"/>
        <v>0.51894054188018046</v>
      </c>
      <c r="J44">
        <f t="shared" si="2"/>
        <v>0.51601030000000003</v>
      </c>
      <c r="K44" s="12">
        <v>-5.2999999999999999E-2</v>
      </c>
      <c r="L44" s="12">
        <v>2.92E-2</v>
      </c>
      <c r="M44" s="12">
        <v>-5.5000000000000003E-4</v>
      </c>
      <c r="N44" s="12">
        <v>4.3000000000000003E-6</v>
      </c>
    </row>
    <row r="45" spans="5:14" x14ac:dyDescent="0.2">
      <c r="E45" s="1"/>
      <c r="H45">
        <f t="shared" si="1"/>
        <v>42</v>
      </c>
      <c r="I45">
        <f t="shared" si="0"/>
        <v>0.52740073612645677</v>
      </c>
      <c r="J45">
        <f t="shared" si="2"/>
        <v>0.52177839999999998</v>
      </c>
      <c r="K45" s="12">
        <v>-5.2999999999999999E-2</v>
      </c>
      <c r="L45" s="12">
        <v>2.92E-2</v>
      </c>
      <c r="M45" s="12">
        <v>-5.5000000000000003E-4</v>
      </c>
      <c r="N45" s="12">
        <v>4.3000000000000003E-6</v>
      </c>
    </row>
    <row r="46" spans="5:14" x14ac:dyDescent="0.2">
      <c r="H46">
        <f t="shared" si="1"/>
        <v>43</v>
      </c>
      <c r="I46">
        <f t="shared" si="0"/>
        <v>0.53576079914891794</v>
      </c>
      <c r="J46">
        <f t="shared" si="2"/>
        <v>0.52753010000000011</v>
      </c>
      <c r="K46" s="12">
        <v>-5.2999999999999999E-2</v>
      </c>
      <c r="L46" s="12">
        <v>2.92E-2</v>
      </c>
      <c r="M46" s="12">
        <v>-5.5000000000000003E-4</v>
      </c>
      <c r="N46" s="12">
        <v>4.3000000000000003E-6</v>
      </c>
    </row>
    <row r="47" spans="5:14" x14ac:dyDescent="0.2">
      <c r="E47" s="1"/>
      <c r="H47">
        <f t="shared" si="1"/>
        <v>44</v>
      </c>
      <c r="I47">
        <f t="shared" si="0"/>
        <v>0.54402420429747722</v>
      </c>
      <c r="J47">
        <f t="shared" si="2"/>
        <v>0.53329120000000008</v>
      </c>
      <c r="K47" s="12">
        <v>-5.2999999999999999E-2</v>
      </c>
      <c r="L47" s="12">
        <v>2.92E-2</v>
      </c>
      <c r="M47" s="12">
        <v>-5.5000000000000003E-4</v>
      </c>
      <c r="N47" s="12">
        <v>4.3000000000000003E-6</v>
      </c>
    </row>
    <row r="48" spans="5:14" x14ac:dyDescent="0.2">
      <c r="H48">
        <f t="shared" si="1"/>
        <v>45</v>
      </c>
      <c r="I48">
        <f t="shared" si="0"/>
        <v>0.55219422864243128</v>
      </c>
      <c r="J48">
        <f t="shared" si="2"/>
        <v>0.53908750000000016</v>
      </c>
      <c r="K48" s="12">
        <v>-5.2999999999999999E-2</v>
      </c>
      <c r="L48" s="12">
        <v>2.92E-2</v>
      </c>
      <c r="M48" s="12">
        <v>-5.5000000000000003E-4</v>
      </c>
      <c r="N48" s="12">
        <v>4.3000000000000003E-6</v>
      </c>
    </row>
    <row r="49" spans="5:14" x14ac:dyDescent="0.2">
      <c r="H49">
        <f t="shared" si="1"/>
        <v>46</v>
      </c>
      <c r="I49">
        <f t="shared" si="0"/>
        <v>0.56027396816065433</v>
      </c>
      <c r="J49">
        <f t="shared" si="2"/>
        <v>0.5449447999999999</v>
      </c>
      <c r="K49" s="12">
        <v>-5.2999999999999999E-2</v>
      </c>
      <c r="L49" s="12">
        <v>2.92E-2</v>
      </c>
      <c r="M49" s="12">
        <v>-5.5000000000000003E-4</v>
      </c>
      <c r="N49" s="12">
        <v>4.3000000000000003E-6</v>
      </c>
    </row>
    <row r="50" spans="5:14" x14ac:dyDescent="0.2">
      <c r="E50" s="1"/>
      <c r="H50">
        <f t="shared" si="1"/>
        <v>47</v>
      </c>
      <c r="I50">
        <f t="shared" si="0"/>
        <v>0.56826635144371385</v>
      </c>
      <c r="J50">
        <f t="shared" si="2"/>
        <v>0.55088890000000013</v>
      </c>
      <c r="K50" s="12">
        <v>-5.2999999999999999E-2</v>
      </c>
      <c r="L50" s="12">
        <v>2.92E-2</v>
      </c>
      <c r="M50" s="12">
        <v>-5.5000000000000003E-4</v>
      </c>
      <c r="N50" s="12">
        <v>4.3000000000000003E-6</v>
      </c>
    </row>
    <row r="51" spans="5:14" x14ac:dyDescent="0.2">
      <c r="E51" s="1"/>
      <c r="H51">
        <f t="shared" si="1"/>
        <v>48</v>
      </c>
      <c r="I51">
        <f t="shared" si="0"/>
        <v>0.57617415210003053</v>
      </c>
      <c r="J51">
        <f t="shared" si="2"/>
        <v>0.55694559999999993</v>
      </c>
      <c r="K51" s="12">
        <v>-5.2999999999999999E-2</v>
      </c>
      <c r="L51" s="12">
        <v>2.92E-2</v>
      </c>
      <c r="M51" s="12">
        <v>-5.5000000000000003E-4</v>
      </c>
      <c r="N51" s="12">
        <v>4.3000000000000003E-6</v>
      </c>
    </row>
    <row r="52" spans="5:14" x14ac:dyDescent="0.2">
      <c r="H52">
        <f t="shared" si="1"/>
        <v>49</v>
      </c>
      <c r="I52">
        <f t="shared" si="0"/>
        <v>0.58400000000000007</v>
      </c>
      <c r="J52">
        <f t="shared" si="2"/>
        <v>0.56314070000000005</v>
      </c>
      <c r="K52" s="12">
        <v>-5.2999999999999999E-2</v>
      </c>
      <c r="L52" s="12">
        <v>2.92E-2</v>
      </c>
      <c r="M52" s="12">
        <v>-5.5000000000000003E-4</v>
      </c>
      <c r="N52" s="12">
        <v>4.3000000000000003E-6</v>
      </c>
    </row>
    <row r="53" spans="5:14" x14ac:dyDescent="0.2">
      <c r="E53" s="1"/>
      <c r="H53">
        <f t="shared" si="1"/>
        <v>50</v>
      </c>
      <c r="I53">
        <f t="shared" si="0"/>
        <v>0.59174639149333674</v>
      </c>
      <c r="J53">
        <f t="shared" si="2"/>
        <v>0.56950000000000012</v>
      </c>
      <c r="K53" s="12">
        <v>-5.2999999999999999E-2</v>
      </c>
      <c r="L53" s="12">
        <v>2.92E-2</v>
      </c>
      <c r="M53" s="12">
        <v>-5.5000000000000003E-4</v>
      </c>
      <c r="N53" s="12">
        <v>4.3000000000000003E-6</v>
      </c>
    </row>
    <row r="54" spans="5:14" x14ac:dyDescent="0.2">
      <c r="E54" s="1"/>
      <c r="H54">
        <f t="shared" si="1"/>
        <v>51</v>
      </c>
      <c r="I54">
        <f t="shared" si="0"/>
        <v>0.59941569871117073</v>
      </c>
      <c r="J54">
        <f t="shared" si="2"/>
        <v>0.57604930000000021</v>
      </c>
      <c r="K54" s="12">
        <v>-5.2999999999999999E-2</v>
      </c>
      <c r="L54" s="12">
        <v>2.92E-2</v>
      </c>
      <c r="M54" s="12">
        <v>-5.5000000000000003E-4</v>
      </c>
      <c r="N54" s="12">
        <v>4.3000000000000003E-6</v>
      </c>
    </row>
    <row r="55" spans="5:14" x14ac:dyDescent="0.2">
      <c r="H55">
        <f t="shared" si="1"/>
        <v>52</v>
      </c>
      <c r="I55">
        <f t="shared" si="0"/>
        <v>0.60701017805114965</v>
      </c>
      <c r="J55">
        <f t="shared" si="2"/>
        <v>0.58281439999999995</v>
      </c>
      <c r="K55" s="12">
        <v>-5.2999999999999999E-2</v>
      </c>
      <c r="L55" s="12">
        <v>2.92E-2</v>
      </c>
      <c r="M55" s="12">
        <v>-5.5000000000000003E-4</v>
      </c>
      <c r="N55" s="12">
        <v>4.3000000000000003E-6</v>
      </c>
    </row>
    <row r="56" spans="5:14" x14ac:dyDescent="0.2">
      <c r="E56" s="1"/>
      <c r="H56">
        <f t="shared" si="1"/>
        <v>53</v>
      </c>
      <c r="I56">
        <f t="shared" si="0"/>
        <v>0.61453197793157655</v>
      </c>
      <c r="J56">
        <f t="shared" si="2"/>
        <v>0.58982110000000021</v>
      </c>
      <c r="K56" s="12">
        <v>-5.2999999999999999E-2</v>
      </c>
      <c r="L56" s="12">
        <v>2.92E-2</v>
      </c>
      <c r="M56" s="12">
        <v>-5.5000000000000003E-4</v>
      </c>
      <c r="N56" s="12">
        <v>4.3000000000000003E-6</v>
      </c>
    </row>
    <row r="57" spans="5:14" x14ac:dyDescent="0.2">
      <c r="H57">
        <f t="shared" si="1"/>
        <v>54</v>
      </c>
      <c r="I57">
        <f t="shared" si="0"/>
        <v>0.62198314589009929</v>
      </c>
      <c r="J57">
        <f t="shared" si="2"/>
        <v>0.59709519999999994</v>
      </c>
      <c r="K57" s="12">
        <v>-5.2999999999999999E-2</v>
      </c>
      <c r="L57" s="12">
        <v>2.92E-2</v>
      </c>
      <c r="M57" s="12">
        <v>-5.5000000000000003E-4</v>
      </c>
      <c r="N57" s="12">
        <v>4.3000000000000003E-6</v>
      </c>
    </row>
    <row r="58" spans="5:14" x14ac:dyDescent="0.2">
      <c r="H58">
        <f t="shared" si="1"/>
        <v>55</v>
      </c>
      <c r="I58">
        <f t="shared" si="0"/>
        <v>0.62936563509342736</v>
      </c>
      <c r="J58">
        <f t="shared" si="2"/>
        <v>0.6046625000000001</v>
      </c>
      <c r="K58" s="12">
        <v>-5.2999999999999999E-2</v>
      </c>
      <c r="L58" s="12">
        <v>2.92E-2</v>
      </c>
      <c r="M58" s="12">
        <v>-5.5000000000000003E-4</v>
      </c>
      <c r="N58" s="12">
        <v>4.3000000000000003E-6</v>
      </c>
    </row>
    <row r="59" spans="5:14" x14ac:dyDescent="0.2">
      <c r="H59">
        <f t="shared" si="1"/>
        <v>56</v>
      </c>
      <c r="I59">
        <f t="shared" si="0"/>
        <v>0.63668131031671926</v>
      </c>
      <c r="J59">
        <f t="shared" si="2"/>
        <v>0.6125488</v>
      </c>
      <c r="K59" s="12">
        <v>-5.2999999999999999E-2</v>
      </c>
      <c r="L59" s="12">
        <v>2.92E-2</v>
      </c>
      <c r="M59" s="12">
        <v>-5.5000000000000003E-4</v>
      </c>
      <c r="N59" s="12">
        <v>4.3000000000000003E-6</v>
      </c>
    </row>
    <row r="60" spans="5:14" x14ac:dyDescent="0.2">
      <c r="H60">
        <f t="shared" si="1"/>
        <v>57</v>
      </c>
      <c r="I60">
        <f t="shared" si="0"/>
        <v>0.64393195344451182</v>
      </c>
      <c r="J60">
        <f t="shared" si="2"/>
        <v>0.62077990000000016</v>
      </c>
      <c r="K60" s="12">
        <v>-5.2999999999999999E-2</v>
      </c>
      <c r="L60" s="12">
        <v>2.92E-2</v>
      </c>
      <c r="M60" s="12">
        <v>-5.5000000000000003E-4</v>
      </c>
      <c r="N60" s="12">
        <v>4.3000000000000003E-6</v>
      </c>
    </row>
    <row r="61" spans="5:14" x14ac:dyDescent="0.2">
      <c r="H61">
        <f t="shared" si="1"/>
        <v>58</v>
      </c>
      <c r="I61">
        <f t="shared" si="0"/>
        <v>0.65111926853916602</v>
      </c>
      <c r="J61">
        <f t="shared" si="2"/>
        <v>0.6293816000000001</v>
      </c>
      <c r="K61" s="12">
        <v>-5.2999999999999999E-2</v>
      </c>
      <c r="L61" s="12">
        <v>2.92E-2</v>
      </c>
      <c r="M61" s="12">
        <v>-5.5000000000000003E-4</v>
      </c>
      <c r="N61" s="12">
        <v>4.3000000000000003E-6</v>
      </c>
    </row>
    <row r="62" spans="5:14" x14ac:dyDescent="0.2">
      <c r="H62">
        <f t="shared" si="1"/>
        <v>59</v>
      </c>
      <c r="I62">
        <f t="shared" si="0"/>
        <v>0.65824488651767821</v>
      </c>
      <c r="J62">
        <f t="shared" si="2"/>
        <v>0.63837969999999999</v>
      </c>
      <c r="K62" s="12">
        <v>-5.2999999999999999E-2</v>
      </c>
      <c r="L62" s="12">
        <v>2.92E-2</v>
      </c>
      <c r="M62" s="12">
        <v>-5.5000000000000003E-4</v>
      </c>
      <c r="N62" s="12">
        <v>4.3000000000000003E-6</v>
      </c>
    </row>
    <row r="63" spans="5:14" x14ac:dyDescent="0.2">
      <c r="H63">
        <f t="shared" si="1"/>
        <v>60</v>
      </c>
      <c r="I63">
        <f t="shared" si="0"/>
        <v>0.66531036947321698</v>
      </c>
      <c r="J63">
        <f t="shared" si="2"/>
        <v>0.64779999999999993</v>
      </c>
      <c r="K63" s="12">
        <v>-5.2999999999999999E-2</v>
      </c>
      <c r="L63" s="12">
        <v>2.92E-2</v>
      </c>
      <c r="M63" s="12">
        <v>-5.5000000000000003E-4</v>
      </c>
      <c r="N63" s="12">
        <v>4.3000000000000003E-6</v>
      </c>
    </row>
    <row r="64" spans="5:14" x14ac:dyDescent="0.2">
      <c r="H64">
        <f t="shared" si="1"/>
        <v>61</v>
      </c>
      <c r="I64">
        <f t="shared" si="0"/>
        <v>0.67231721467382521</v>
      </c>
      <c r="J64">
        <f t="shared" si="2"/>
        <v>0.65766829999999998</v>
      </c>
      <c r="K64" s="12">
        <v>-5.2999999999999999E-2</v>
      </c>
      <c r="L64" s="12">
        <v>2.92E-2</v>
      </c>
      <c r="M64" s="12">
        <v>-5.5000000000000003E-4</v>
      </c>
      <c r="N64" s="12">
        <v>4.3000000000000003E-6</v>
      </c>
    </row>
    <row r="65" spans="8:14" x14ac:dyDescent="0.2">
      <c r="H65">
        <f t="shared" si="1"/>
        <v>62</v>
      </c>
      <c r="I65">
        <f t="shared" si="0"/>
        <v>0.67926685826728739</v>
      </c>
      <c r="J65">
        <f t="shared" si="2"/>
        <v>0.66801039999999978</v>
      </c>
      <c r="K65" s="12">
        <v>-5.2999999999999999E-2</v>
      </c>
      <c r="L65" s="12">
        <v>2.92E-2</v>
      </c>
      <c r="M65" s="12">
        <v>-5.5000000000000003E-4</v>
      </c>
      <c r="N65" s="12">
        <v>4.3000000000000003E-6</v>
      </c>
    </row>
    <row r="66" spans="8:14" x14ac:dyDescent="0.2">
      <c r="H66">
        <f t="shared" si="1"/>
        <v>63</v>
      </c>
      <c r="I66">
        <f t="shared" si="0"/>
        <v>0.68616067871812114</v>
      </c>
      <c r="J66">
        <f t="shared" si="2"/>
        <v>0.67885210000000029</v>
      </c>
      <c r="K66" s="12">
        <v>-5.2999999999999999E-2</v>
      </c>
      <c r="L66" s="12">
        <v>2.92E-2</v>
      </c>
      <c r="M66" s="12">
        <v>-5.5000000000000003E-4</v>
      </c>
      <c r="N66" s="12">
        <v>4.3000000000000003E-6</v>
      </c>
    </row>
    <row r="67" spans="8:14" x14ac:dyDescent="0.2">
      <c r="H67">
        <f t="shared" si="1"/>
        <v>64</v>
      </c>
      <c r="I67">
        <f t="shared" si="0"/>
        <v>0.69300000000000006</v>
      </c>
      <c r="J67">
        <f t="shared" si="2"/>
        <v>0.69021920000000003</v>
      </c>
      <c r="K67" s="12">
        <v>-5.2999999999999999E-2</v>
      </c>
      <c r="L67" s="12">
        <v>2.92E-2</v>
      </c>
      <c r="M67" s="12">
        <v>-5.5000000000000003E-4</v>
      </c>
      <c r="N67" s="12">
        <v>4.3000000000000003E-6</v>
      </c>
    </row>
    <row r="68" spans="8:14" x14ac:dyDescent="0.2">
      <c r="H68">
        <f t="shared" si="1"/>
        <v>65</v>
      </c>
      <c r="I68">
        <f t="shared" si="0"/>
        <v>0.69978609456454177</v>
      </c>
      <c r="J68">
        <f t="shared" si="2"/>
        <v>0.70213750000000008</v>
      </c>
      <c r="K68" s="12">
        <v>-5.2999999999999999E-2</v>
      </c>
      <c r="L68" s="12">
        <v>2.92E-2</v>
      </c>
      <c r="M68" s="12">
        <v>-5.5000000000000003E-4</v>
      </c>
      <c r="N68" s="12">
        <v>4.3000000000000003E-6</v>
      </c>
    </row>
    <row r="69" spans="8:14" x14ac:dyDescent="0.2">
      <c r="H69">
        <f t="shared" si="1"/>
        <v>66</v>
      </c>
      <c r="I69">
        <f t="shared" ref="I69:I85" si="4">(H69^0.5)*0.109-0.179</f>
        <v>0.70652018610531964</v>
      </c>
      <c r="J69">
        <f t="shared" si="2"/>
        <v>0.71463280000000018</v>
      </c>
      <c r="K69" s="12">
        <v>-5.2999999999999999E-2</v>
      </c>
      <c r="L69" s="12">
        <v>2.92E-2</v>
      </c>
      <c r="M69" s="12">
        <v>-5.5000000000000003E-4</v>
      </c>
      <c r="N69" s="12">
        <v>4.3000000000000003E-6</v>
      </c>
    </row>
    <row r="70" spans="8:14" x14ac:dyDescent="0.2">
      <c r="H70">
        <f t="shared" ref="H70:H85" si="5">1+H69</f>
        <v>67</v>
      </c>
      <c r="I70">
        <f t="shared" si="4"/>
        <v>0.71320345213409708</v>
      </c>
      <c r="J70">
        <f t="shared" ref="J70:J85" si="6">K70+H70*L70+M70*(H70^2)+N70*(H70^3)</f>
        <v>0.72773090000000007</v>
      </c>
      <c r="K70" s="12">
        <v>-5.2999999999999999E-2</v>
      </c>
      <c r="L70" s="12">
        <v>2.92E-2</v>
      </c>
      <c r="M70" s="12">
        <v>-5.5000000000000003E-4</v>
      </c>
      <c r="N70" s="12">
        <v>4.3000000000000003E-6</v>
      </c>
    </row>
    <row r="71" spans="8:14" x14ac:dyDescent="0.2">
      <c r="H71">
        <f t="shared" si="5"/>
        <v>68</v>
      </c>
      <c r="I71">
        <f t="shared" si="4"/>
        <v>0.71983702638465008</v>
      </c>
      <c r="J71">
        <f t="shared" si="6"/>
        <v>0.74145760000000016</v>
      </c>
      <c r="K71" s="12">
        <v>-5.2999999999999999E-2</v>
      </c>
      <c r="L71" s="12">
        <v>2.92E-2</v>
      </c>
      <c r="M71" s="12">
        <v>-5.5000000000000003E-4</v>
      </c>
      <c r="N71" s="12">
        <v>4.3000000000000003E-6</v>
      </c>
    </row>
    <row r="72" spans="8:14" x14ac:dyDescent="0.2">
      <c r="H72">
        <f t="shared" si="5"/>
        <v>69</v>
      </c>
      <c r="I72">
        <f t="shared" si="4"/>
        <v>0.7264220010580702</v>
      </c>
      <c r="J72">
        <f t="shared" si="6"/>
        <v>0.75583869999999997</v>
      </c>
      <c r="K72" s="12">
        <v>-5.2999999999999999E-2</v>
      </c>
      <c r="L72" s="12">
        <v>2.92E-2</v>
      </c>
      <c r="M72" s="12">
        <v>-5.5000000000000003E-4</v>
      </c>
      <c r="N72" s="12">
        <v>4.3000000000000003E-6</v>
      </c>
    </row>
    <row r="73" spans="8:14" x14ac:dyDescent="0.2">
      <c r="H73">
        <f t="shared" si="5"/>
        <v>70</v>
      </c>
      <c r="I73">
        <f t="shared" si="4"/>
        <v>0.73295942892214239</v>
      </c>
      <c r="J73">
        <f t="shared" si="6"/>
        <v>0.77089999999999992</v>
      </c>
      <c r="K73" s="12">
        <v>-5.2999999999999999E-2</v>
      </c>
      <c r="L73" s="12">
        <v>2.92E-2</v>
      </c>
      <c r="M73" s="12">
        <v>-5.5000000000000003E-4</v>
      </c>
      <c r="N73" s="12">
        <v>4.3000000000000003E-6</v>
      </c>
    </row>
    <row r="74" spans="8:14" x14ac:dyDescent="0.2">
      <c r="H74">
        <f t="shared" si="5"/>
        <v>71</v>
      </c>
      <c r="I74">
        <f t="shared" si="4"/>
        <v>0.73945032527622323</v>
      </c>
      <c r="J74">
        <f t="shared" si="6"/>
        <v>0.78666729999999974</v>
      </c>
      <c r="K74" s="12">
        <v>-5.2999999999999999E-2</v>
      </c>
      <c r="L74" s="12">
        <v>2.92E-2</v>
      </c>
      <c r="M74" s="12">
        <v>-5.5000000000000003E-4</v>
      </c>
      <c r="N74" s="12">
        <v>4.3000000000000003E-6</v>
      </c>
    </row>
    <row r="75" spans="8:14" x14ac:dyDescent="0.2">
      <c r="H75">
        <f t="shared" si="5"/>
        <v>72</v>
      </c>
      <c r="I75">
        <f t="shared" si="4"/>
        <v>0.74589566979200406</v>
      </c>
      <c r="J75">
        <f t="shared" si="6"/>
        <v>0.80316640000000006</v>
      </c>
      <c r="K75" s="12">
        <v>-5.2999999999999999E-2</v>
      </c>
      <c r="L75" s="12">
        <v>2.92E-2</v>
      </c>
      <c r="M75" s="12">
        <v>-5.5000000000000003E-4</v>
      </c>
      <c r="N75" s="12">
        <v>4.3000000000000003E-6</v>
      </c>
    </row>
    <row r="76" spans="8:14" x14ac:dyDescent="0.2">
      <c r="H76">
        <f t="shared" si="5"/>
        <v>73</v>
      </c>
      <c r="I76">
        <f t="shared" si="4"/>
        <v>0.75229640823961086</v>
      </c>
      <c r="J76">
        <f t="shared" si="6"/>
        <v>0.82042310000000018</v>
      </c>
      <c r="K76" s="12">
        <v>-5.2999999999999999E-2</v>
      </c>
      <c r="L76" s="12">
        <v>2.92E-2</v>
      </c>
      <c r="M76" s="12">
        <v>-5.5000000000000003E-4</v>
      </c>
      <c r="N76" s="12">
        <v>4.3000000000000003E-6</v>
      </c>
    </row>
    <row r="77" spans="8:14" x14ac:dyDescent="0.2">
      <c r="H77">
        <f t="shared" si="5"/>
        <v>74</v>
      </c>
      <c r="I77">
        <f t="shared" si="4"/>
        <v>0.7586534541076464</v>
      </c>
      <c r="J77">
        <f t="shared" si="6"/>
        <v>0.8384632000000003</v>
      </c>
      <c r="K77" s="12">
        <v>-5.2999999999999999E-2</v>
      </c>
      <c r="L77" s="12">
        <v>2.92E-2</v>
      </c>
      <c r="M77" s="12">
        <v>-5.5000000000000003E-4</v>
      </c>
      <c r="N77" s="12">
        <v>4.3000000000000003E-6</v>
      </c>
    </row>
    <row r="78" spans="8:14" x14ac:dyDescent="0.2">
      <c r="H78">
        <f t="shared" si="5"/>
        <v>75</v>
      </c>
      <c r="I78">
        <f t="shared" si="4"/>
        <v>0.76496769012503818</v>
      </c>
      <c r="J78">
        <f t="shared" si="6"/>
        <v>0.85731250000000014</v>
      </c>
      <c r="K78" s="12">
        <v>-5.2999999999999999E-2</v>
      </c>
      <c r="L78" s="12">
        <v>2.92E-2</v>
      </c>
      <c r="M78" s="12">
        <v>-5.5000000000000003E-4</v>
      </c>
      <c r="N78" s="12">
        <v>4.3000000000000003E-6</v>
      </c>
    </row>
    <row r="79" spans="8:14" x14ac:dyDescent="0.2">
      <c r="H79">
        <f t="shared" si="5"/>
        <v>76</v>
      </c>
      <c r="I79">
        <f t="shared" si="4"/>
        <v>0.77123996969186703</v>
      </c>
      <c r="J79">
        <f t="shared" si="6"/>
        <v>0.87699679999999991</v>
      </c>
      <c r="K79" s="12">
        <v>-5.2999999999999999E-2</v>
      </c>
      <c r="L79" s="12">
        <v>2.92E-2</v>
      </c>
      <c r="M79" s="12">
        <v>-5.5000000000000003E-4</v>
      </c>
      <c r="N79" s="12">
        <v>4.3000000000000003E-6</v>
      </c>
    </row>
    <row r="80" spans="8:14" x14ac:dyDescent="0.2">
      <c r="H80">
        <f t="shared" si="5"/>
        <v>77</v>
      </c>
      <c r="I80">
        <f t="shared" si="4"/>
        <v>0.77747111822574144</v>
      </c>
      <c r="J80">
        <f t="shared" si="6"/>
        <v>0.89754190000000023</v>
      </c>
      <c r="K80" s="12">
        <v>-5.2999999999999999E-2</v>
      </c>
      <c r="L80" s="12">
        <v>2.92E-2</v>
      </c>
      <c r="M80" s="12">
        <v>-5.5000000000000003E-4</v>
      </c>
      <c r="N80" s="12">
        <v>4.3000000000000003E-6</v>
      </c>
    </row>
    <row r="81" spans="8:14" x14ac:dyDescent="0.2">
      <c r="H81">
        <f t="shared" si="5"/>
        <v>78</v>
      </c>
      <c r="I81">
        <f t="shared" si="4"/>
        <v>0.78366193442973531</v>
      </c>
      <c r="J81">
        <f t="shared" si="6"/>
        <v>0.91897360000000017</v>
      </c>
      <c r="K81" s="12">
        <v>-5.2999999999999999E-2</v>
      </c>
      <c r="L81" s="12">
        <v>2.92E-2</v>
      </c>
      <c r="M81" s="12">
        <v>-5.5000000000000003E-4</v>
      </c>
      <c r="N81" s="12">
        <v>4.3000000000000003E-6</v>
      </c>
    </row>
    <row r="82" spans="8:14" x14ac:dyDescent="0.2">
      <c r="H82">
        <f t="shared" si="5"/>
        <v>79</v>
      </c>
      <c r="I82">
        <f t="shared" si="4"/>
        <v>0.78981319148739915</v>
      </c>
      <c r="J82">
        <f t="shared" si="6"/>
        <v>0.94131770000000037</v>
      </c>
      <c r="K82" s="12">
        <v>-5.2999999999999999E-2</v>
      </c>
      <c r="L82" s="12">
        <v>2.92E-2</v>
      </c>
      <c r="M82" s="12">
        <v>-5.5000000000000003E-4</v>
      </c>
      <c r="N82" s="12">
        <v>4.3000000000000003E-6</v>
      </c>
    </row>
    <row r="83" spans="8:14" x14ac:dyDescent="0.2">
      <c r="H83">
        <f t="shared" si="5"/>
        <v>80</v>
      </c>
      <c r="I83">
        <f t="shared" si="4"/>
        <v>0.79592563818990847</v>
      </c>
      <c r="J83">
        <f t="shared" si="6"/>
        <v>0.9645999999999999</v>
      </c>
      <c r="K83" s="12">
        <v>-5.2999999999999999E-2</v>
      </c>
      <c r="L83" s="12">
        <v>2.92E-2</v>
      </c>
      <c r="M83" s="12">
        <v>-5.5000000000000003E-4</v>
      </c>
      <c r="N83" s="12">
        <v>4.3000000000000003E-6</v>
      </c>
    </row>
    <row r="84" spans="8:14" x14ac:dyDescent="0.2">
      <c r="H84">
        <f t="shared" si="5"/>
        <v>81</v>
      </c>
      <c r="I84">
        <f t="shared" si="4"/>
        <v>0.80200000000000005</v>
      </c>
      <c r="J84">
        <f t="shared" si="6"/>
        <v>0.98884630000000007</v>
      </c>
      <c r="K84" s="12">
        <v>-5.2999999999999999E-2</v>
      </c>
      <c r="L84" s="12">
        <v>2.92E-2</v>
      </c>
      <c r="M84" s="12">
        <v>-5.5000000000000003E-4</v>
      </c>
      <c r="N84" s="12">
        <v>4.3000000000000003E-6</v>
      </c>
    </row>
    <row r="85" spans="8:14" x14ac:dyDescent="0.2">
      <c r="H85">
        <f t="shared" si="5"/>
        <v>82</v>
      </c>
      <c r="I85">
        <f t="shared" si="4"/>
        <v>0.80803698005697844</v>
      </c>
      <c r="J85">
        <f t="shared" si="6"/>
        <v>1.0140823999999999</v>
      </c>
      <c r="K85" s="12">
        <v>-5.2999999999999999E-2</v>
      </c>
      <c r="L85" s="12">
        <v>2.92E-2</v>
      </c>
      <c r="M85" s="12">
        <v>-5.5000000000000003E-4</v>
      </c>
      <c r="N85" s="12">
        <v>4.3000000000000003E-6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58E5-5243-8245-854B-0B9395CAAD0C}">
  <dimension ref="A1:AZ19"/>
  <sheetViews>
    <sheetView topLeftCell="R10" zoomScaleNormal="100" workbookViewId="0">
      <selection activeCell="AC23" sqref="AC23"/>
    </sheetView>
  </sheetViews>
  <sheetFormatPr baseColWidth="10" defaultRowHeight="16" x14ac:dyDescent="0.2"/>
  <cols>
    <col min="27" max="27" width="12.6640625" customWidth="1"/>
    <col min="28" max="28" width="14.1640625" customWidth="1"/>
    <col min="35" max="35" width="12.6640625" customWidth="1"/>
    <col min="52" max="52" width="11.1640625" bestFit="1" customWidth="1"/>
  </cols>
  <sheetData>
    <row r="1" spans="1:52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</row>
    <row r="2" spans="1:52" ht="34" x14ac:dyDescent="0.2">
      <c r="A2" s="13">
        <v>10</v>
      </c>
      <c r="B2" t="s">
        <v>181</v>
      </c>
      <c r="C2" s="11" t="s">
        <v>182</v>
      </c>
      <c r="D2">
        <v>0.42399999999999999</v>
      </c>
      <c r="E2" t="s">
        <v>155</v>
      </c>
      <c r="F2">
        <v>100</v>
      </c>
      <c r="G2">
        <v>54.3</v>
      </c>
      <c r="H2">
        <v>20945</v>
      </c>
      <c r="I2">
        <v>4100</v>
      </c>
      <c r="J2">
        <v>9014</v>
      </c>
      <c r="K2" s="12">
        <v>4.9140000000000002E-9</v>
      </c>
      <c r="L2">
        <v>20</v>
      </c>
      <c r="M2">
        <v>2</v>
      </c>
      <c r="N2" t="s">
        <v>120</v>
      </c>
      <c r="O2">
        <v>20</v>
      </c>
      <c r="P2">
        <v>0.2</v>
      </c>
      <c r="Q2">
        <v>54.256493020021701</v>
      </c>
      <c r="R2">
        <v>1711</v>
      </c>
      <c r="S2">
        <v>463</v>
      </c>
      <c r="T2">
        <v>1459</v>
      </c>
      <c r="U2">
        <v>5.4639097744360896</v>
      </c>
      <c r="V2">
        <v>498</v>
      </c>
      <c r="W2">
        <v>2274</v>
      </c>
      <c r="X2">
        <v>1776</v>
      </c>
      <c r="Y2">
        <f>AA2*$AM$2+$AN$2</f>
        <v>0.36697641061898512</v>
      </c>
      <c r="Z2">
        <f>AB2*$AO$2+$AP$2</f>
        <v>0.38954363731778796</v>
      </c>
      <c r="AA2">
        <f>((Q2^0.5)/(120*3.1415*P2))*LN($AI$2*V2/X2)</f>
        <v>-0.12422252576894634</v>
      </c>
      <c r="AB2">
        <f>((Q2^0.5)/(120*3.14*P2))*LN((V2*($AJ$2*R2-V2))/(R2*X2))</f>
        <v>-7.1903965709937387E-2</v>
      </c>
      <c r="AC2">
        <f>$AS$2*AA2^2+$AT$2*AA2+$AU$2</f>
        <v>-9.2627101608595136E-3</v>
      </c>
      <c r="AD2">
        <f>$AS$3*AB2^2+$AT$3*AB2+$AU$3</f>
        <v>0.42478795835906785</v>
      </c>
      <c r="AH2" t="s">
        <v>376</v>
      </c>
      <c r="AI2">
        <v>1</v>
      </c>
      <c r="AJ2">
        <v>2</v>
      </c>
      <c r="AK2">
        <f>RSQ(AA2:AA115,D2:D115)</f>
        <v>0.75430240472227561</v>
      </c>
      <c r="AL2">
        <f>RSQ(AB2:AB115,D2:D115)</f>
        <v>0.81463851903841267</v>
      </c>
      <c r="AM2">
        <f>SLOPE(D2:D19,AA2:AA19)</f>
        <v>-3.9228008382989725</v>
      </c>
      <c r="AN2">
        <f>INTERCEPT(D2:D19,AA2:AA19)</f>
        <v>-0.1203238176030533</v>
      </c>
      <c r="AO2">
        <f>SLOPE(D2:D19,AB2:AB19)</f>
        <v>-6.7169941707642966</v>
      </c>
      <c r="AP2">
        <f>INTERCEPT(D2:D19,AB2:AB19)</f>
        <v>-9.343488121069729E-2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0.30054793776048305</v>
      </c>
      <c r="AX2">
        <f>(AB2-D2)^2</f>
        <v>0.24592074320684276</v>
      </c>
      <c r="AZ2">
        <f>(AD2-D2)^2</f>
        <v>6.2087837562492097E-7</v>
      </c>
    </row>
    <row r="3" spans="1:52" ht="34" x14ac:dyDescent="0.2">
      <c r="A3" s="13">
        <v>11</v>
      </c>
      <c r="B3" t="s">
        <v>183</v>
      </c>
      <c r="C3" s="11" t="s">
        <v>184</v>
      </c>
      <c r="D3">
        <v>0.437</v>
      </c>
      <c r="E3" t="s">
        <v>155</v>
      </c>
      <c r="F3">
        <v>100</v>
      </c>
      <c r="G3">
        <v>52.5</v>
      </c>
      <c r="H3">
        <v>20945</v>
      </c>
      <c r="I3">
        <v>4100</v>
      </c>
      <c r="J3">
        <v>8932</v>
      </c>
      <c r="K3" s="12">
        <v>4.8319999999999999E-9</v>
      </c>
      <c r="L3">
        <v>20</v>
      </c>
      <c r="M3">
        <v>2</v>
      </c>
      <c r="N3" t="s">
        <v>120</v>
      </c>
      <c r="O3">
        <v>20</v>
      </c>
      <c r="P3">
        <v>0.2</v>
      </c>
      <c r="Q3">
        <v>52.460843085768097</v>
      </c>
      <c r="R3">
        <v>1707</v>
      </c>
      <c r="S3">
        <v>462</v>
      </c>
      <c r="T3">
        <v>1455</v>
      </c>
      <c r="U3">
        <v>5.2165413533834499</v>
      </c>
      <c r="V3">
        <v>475</v>
      </c>
      <c r="W3">
        <v>2270</v>
      </c>
      <c r="X3">
        <v>1795</v>
      </c>
      <c r="Y3">
        <f t="shared" ref="Y3:Y19" si="0">AA3*$AM$2+$AN$2</f>
        <v>0.38067433433870368</v>
      </c>
      <c r="Z3">
        <f t="shared" ref="Z3:Z19" si="1">AB3*$AO$2+$AP$2</f>
        <v>0.41406623109221741</v>
      </c>
      <c r="AA3">
        <f t="shared" ref="AA3:AA19" si="2">((Q3^0.5)/(120*3.1415*P3))*LN($AI$2*V3/X3)</f>
        <v>-0.12771439912279683</v>
      </c>
      <c r="AB3">
        <f t="shared" ref="AB3:AB19" si="3">((Q3^0.5)/(120*3.14*P3))*LN((V3*($AJ$2*R3-V3))/(R3*X3))</f>
        <v>-7.5554794213133644E-2</v>
      </c>
      <c r="AD3">
        <f>$AS$3*AB3^2+$AT$3*AB3+$AU$3</f>
        <v>0.47579160848673979</v>
      </c>
      <c r="AI3" t="s">
        <v>398</v>
      </c>
      <c r="AJ3" t="s">
        <v>397</v>
      </c>
      <c r="AL3" t="s">
        <v>399</v>
      </c>
      <c r="AR3" t="s">
        <v>227</v>
      </c>
      <c r="AS3">
        <v>116.23</v>
      </c>
      <c r="AT3">
        <v>3.1686999999999999</v>
      </c>
      <c r="AU3">
        <v>5.1700000000000003E-2</v>
      </c>
      <c r="AW3">
        <f t="shared" ref="AW3:AW17" si="4">(AA3-D3)^2</f>
        <v>0.31890235257662153</v>
      </c>
      <c r="AX3">
        <f t="shared" ref="AX3:AX19" si="5">(AB3-D3)^2</f>
        <v>0.26271241707086779</v>
      </c>
      <c r="AZ3">
        <f t="shared" ref="AZ3:AZ19" si="6">(AD3-D3)^2</f>
        <v>1.5047888889885028E-3</v>
      </c>
    </row>
    <row r="4" spans="1:52" ht="34" x14ac:dyDescent="0.2">
      <c r="A4" s="13">
        <v>12</v>
      </c>
      <c r="B4" t="s">
        <v>180</v>
      </c>
      <c r="C4" s="11" t="s">
        <v>167</v>
      </c>
      <c r="D4">
        <v>0.41399999999999998</v>
      </c>
      <c r="E4" t="s">
        <v>155</v>
      </c>
      <c r="F4">
        <v>100</v>
      </c>
      <c r="G4">
        <v>52.1</v>
      </c>
      <c r="H4">
        <v>20945</v>
      </c>
      <c r="I4">
        <v>4100</v>
      </c>
      <c r="J4">
        <v>8911</v>
      </c>
      <c r="K4" s="12">
        <v>4.8109999999999901E-9</v>
      </c>
      <c r="L4">
        <v>20</v>
      </c>
      <c r="M4">
        <v>2</v>
      </c>
      <c r="N4" t="s">
        <v>120</v>
      </c>
      <c r="O4">
        <v>20</v>
      </c>
      <c r="P4">
        <v>0.2</v>
      </c>
      <c r="Q4">
        <v>52.005841535868697</v>
      </c>
      <c r="R4">
        <v>1707</v>
      </c>
      <c r="S4">
        <v>467</v>
      </c>
      <c r="T4">
        <v>1455</v>
      </c>
      <c r="U4">
        <v>5.7526315789473603</v>
      </c>
      <c r="V4">
        <v>483</v>
      </c>
      <c r="W4">
        <v>2275</v>
      </c>
      <c r="X4">
        <v>1792</v>
      </c>
      <c r="Y4">
        <f t="shared" si="0"/>
        <v>0.37160267170406325</v>
      </c>
      <c r="Z4">
        <f t="shared" si="1"/>
        <v>0.4018019132077284</v>
      </c>
      <c r="AA4">
        <f t="shared" si="2"/>
        <v>-0.12540185178517207</v>
      </c>
      <c r="AB4">
        <f>((Q4^0.5)/(120*3.14*P4))*LN((V4*($AJ$2*R4-V4))/(R4*X4))</f>
        <v>-7.3728930207196369E-2</v>
      </c>
      <c r="AD4">
        <f t="shared" ref="AD4:AD19" si="7">$AS$3*AB4^2+$AT$3*AB4+$AU$3</f>
        <v>0.44989620587856688</v>
      </c>
      <c r="AI4">
        <f>(AVERAGE(AW2:AW19))^0.5</f>
        <v>0.35024815351519684</v>
      </c>
      <c r="AJ4">
        <f>(AVERAGE(AX2:AX19))^0.5</f>
        <v>0.31238953430602207</v>
      </c>
      <c r="AL4">
        <f>(AVERAGE(AZ2:AZ19))^0.5</f>
        <v>4.4960868804190646E-2</v>
      </c>
      <c r="AW4">
        <f>(AA4-D4)^2</f>
        <v>0.29095435770927275</v>
      </c>
      <c r="AX4">
        <f t="shared" si="5"/>
        <v>0.23787950936105617</v>
      </c>
      <c r="AZ4">
        <f>(AD4-D4)^2</f>
        <v>1.2885375964764609E-3</v>
      </c>
    </row>
    <row r="5" spans="1:52" ht="34" x14ac:dyDescent="0.2">
      <c r="A5" s="13">
        <v>13</v>
      </c>
      <c r="B5" t="s">
        <v>179</v>
      </c>
      <c r="C5" s="11" t="s">
        <v>165</v>
      </c>
      <c r="D5">
        <v>0.1552</v>
      </c>
      <c r="E5" t="s">
        <v>155</v>
      </c>
      <c r="F5">
        <v>100</v>
      </c>
      <c r="G5">
        <v>51.7</v>
      </c>
      <c r="H5">
        <v>20945</v>
      </c>
      <c r="I5">
        <v>4100</v>
      </c>
      <c r="J5">
        <v>8895</v>
      </c>
      <c r="K5" s="12">
        <v>4.7949999999999902E-9</v>
      </c>
      <c r="L5">
        <v>20</v>
      </c>
      <c r="M5">
        <v>2</v>
      </c>
      <c r="N5" t="s">
        <v>120</v>
      </c>
      <c r="O5">
        <v>20</v>
      </c>
      <c r="P5">
        <v>0.2</v>
      </c>
      <c r="Q5">
        <v>51.660503845990903</v>
      </c>
      <c r="R5">
        <v>1722</v>
      </c>
      <c r="S5">
        <v>631</v>
      </c>
      <c r="T5">
        <v>1455</v>
      </c>
      <c r="U5">
        <v>11.3097744360902</v>
      </c>
      <c r="V5">
        <v>663</v>
      </c>
      <c r="W5">
        <v>2335</v>
      </c>
      <c r="X5">
        <v>1672</v>
      </c>
      <c r="Y5">
        <f t="shared" si="0"/>
        <v>0.22559117249457658</v>
      </c>
      <c r="Z5">
        <f t="shared" si="1"/>
        <v>0.19208296969582064</v>
      </c>
      <c r="AA5">
        <f t="shared" si="2"/>
        <v>-8.8180614911775007E-2</v>
      </c>
      <c r="AB5">
        <f t="shared" si="3"/>
        <v>-4.2506788549740562E-2</v>
      </c>
      <c r="AD5">
        <f t="shared" si="7"/>
        <v>0.12701624979541715</v>
      </c>
      <c r="AW5">
        <f t="shared" si="4"/>
        <v>5.923412371483372E-2</v>
      </c>
      <c r="AX5">
        <f t="shared" si="5"/>
        <v>3.9087974238651825E-2</v>
      </c>
      <c r="AZ5">
        <f t="shared" si="6"/>
        <v>7.9432377559432432E-4</v>
      </c>
    </row>
    <row r="6" spans="1:52" ht="34" x14ac:dyDescent="0.2">
      <c r="A6" s="13">
        <v>14</v>
      </c>
      <c r="B6" t="s">
        <v>178</v>
      </c>
      <c r="C6" s="11" t="s">
        <v>163</v>
      </c>
      <c r="D6">
        <v>7.9600000000000004E-2</v>
      </c>
      <c r="E6" t="s">
        <v>155</v>
      </c>
      <c r="F6">
        <v>100</v>
      </c>
      <c r="G6">
        <v>53</v>
      </c>
      <c r="H6">
        <v>20945</v>
      </c>
      <c r="I6">
        <v>4100</v>
      </c>
      <c r="J6">
        <v>8953</v>
      </c>
      <c r="K6" s="12">
        <v>4.8529999999999997E-9</v>
      </c>
      <c r="L6">
        <v>20</v>
      </c>
      <c r="M6">
        <v>2</v>
      </c>
      <c r="N6" t="s">
        <v>120</v>
      </c>
      <c r="O6">
        <v>20</v>
      </c>
      <c r="P6">
        <v>0.2</v>
      </c>
      <c r="Q6">
        <v>52.917826390836602</v>
      </c>
      <c r="R6">
        <v>1722</v>
      </c>
      <c r="S6">
        <v>743</v>
      </c>
      <c r="T6">
        <v>1462</v>
      </c>
      <c r="U6">
        <v>15.175187969924799</v>
      </c>
      <c r="V6">
        <v>819</v>
      </c>
      <c r="W6">
        <v>2491</v>
      </c>
      <c r="X6">
        <v>1672</v>
      </c>
      <c r="Y6">
        <f t="shared" si="0"/>
        <v>0.14979796326843173</v>
      </c>
      <c r="Z6">
        <f t="shared" si="1"/>
        <v>9.5957499589464645E-2</v>
      </c>
      <c r="AA6">
        <f t="shared" si="2"/>
        <v>-6.8859417545300824E-2</v>
      </c>
      <c r="AB6">
        <f t="shared" si="3"/>
        <v>-2.8196001959402001E-2</v>
      </c>
      <c r="AD6">
        <f t="shared" si="7"/>
        <v>5.4759867005710415E-2</v>
      </c>
      <c r="AW6">
        <f t="shared" si="4"/>
        <v>2.2040198657889979E-2</v>
      </c>
      <c r="AX6">
        <f t="shared" si="5"/>
        <v>1.16199780384314E-2</v>
      </c>
      <c r="AZ6">
        <f t="shared" si="6"/>
        <v>6.1703220717399421E-4</v>
      </c>
    </row>
    <row r="7" spans="1:52" ht="34" x14ac:dyDescent="0.2">
      <c r="A7" s="13">
        <v>15</v>
      </c>
      <c r="B7" t="s">
        <v>176</v>
      </c>
      <c r="C7" s="11" t="s">
        <v>177</v>
      </c>
      <c r="D7">
        <v>5.11E-2</v>
      </c>
      <c r="E7" t="s">
        <v>155</v>
      </c>
      <c r="F7">
        <v>100</v>
      </c>
      <c r="G7">
        <v>53.4</v>
      </c>
      <c r="H7">
        <v>20945</v>
      </c>
      <c r="I7">
        <v>4100</v>
      </c>
      <c r="J7">
        <v>8973</v>
      </c>
      <c r="K7" s="12">
        <v>4.873E-9</v>
      </c>
      <c r="L7">
        <v>20</v>
      </c>
      <c r="M7">
        <v>2</v>
      </c>
      <c r="N7" t="s">
        <v>120</v>
      </c>
      <c r="O7">
        <v>20</v>
      </c>
      <c r="P7">
        <v>0.2</v>
      </c>
      <c r="Q7">
        <v>53.354891034256298</v>
      </c>
      <c r="R7">
        <v>1723</v>
      </c>
      <c r="S7">
        <v>835</v>
      </c>
      <c r="T7">
        <v>1470</v>
      </c>
      <c r="U7">
        <v>16.946616541353301</v>
      </c>
      <c r="V7">
        <v>935</v>
      </c>
      <c r="W7">
        <v>2655</v>
      </c>
      <c r="X7">
        <v>1720</v>
      </c>
      <c r="Y7">
        <f t="shared" si="0"/>
        <v>0.11132619298999308</v>
      </c>
      <c r="Z7">
        <f t="shared" si="1"/>
        <v>5.8209374555797083E-2</v>
      </c>
      <c r="AA7">
        <f t="shared" si="2"/>
        <v>-5.9052197687786717E-2</v>
      </c>
      <c r="AB7">
        <f t="shared" si="3"/>
        <v>-2.2576207736866243E-2</v>
      </c>
      <c r="AD7">
        <f t="shared" si="7"/>
        <v>3.9403476200285052E-2</v>
      </c>
      <c r="AW7">
        <f t="shared" si="4"/>
        <v>1.2133506655449247E-2</v>
      </c>
      <c r="AX7">
        <f t="shared" si="5"/>
        <v>5.428183586485869E-3</v>
      </c>
      <c r="AZ7">
        <f t="shared" si="6"/>
        <v>1.3680866899729819E-4</v>
      </c>
    </row>
    <row r="8" spans="1:52" ht="34" x14ac:dyDescent="0.2">
      <c r="A8" s="13">
        <v>16</v>
      </c>
      <c r="B8" t="s">
        <v>174</v>
      </c>
      <c r="C8" s="11" t="s">
        <v>175</v>
      </c>
      <c r="D8">
        <v>7.0000000000000001E-3</v>
      </c>
      <c r="E8" t="s">
        <v>155</v>
      </c>
      <c r="F8">
        <v>49.5</v>
      </c>
      <c r="G8">
        <v>24.3</v>
      </c>
      <c r="H8">
        <v>20945</v>
      </c>
      <c r="I8">
        <v>3940</v>
      </c>
      <c r="J8">
        <v>7228</v>
      </c>
      <c r="K8" s="12">
        <v>3.2879999999999998E-9</v>
      </c>
      <c r="L8">
        <v>20</v>
      </c>
      <c r="M8">
        <v>2</v>
      </c>
      <c r="N8" t="s">
        <v>120</v>
      </c>
      <c r="O8">
        <v>20</v>
      </c>
      <c r="P8">
        <v>0.2</v>
      </c>
      <c r="Q8">
        <v>24.2909797675843</v>
      </c>
      <c r="R8">
        <v>1775</v>
      </c>
      <c r="S8">
        <v>1382</v>
      </c>
      <c r="T8">
        <v>1719</v>
      </c>
      <c r="U8">
        <v>29.121052631578898</v>
      </c>
      <c r="V8">
        <v>1426</v>
      </c>
      <c r="W8">
        <v>3791</v>
      </c>
      <c r="X8">
        <v>2365</v>
      </c>
      <c r="Y8">
        <f t="shared" si="0"/>
        <v>9.4058137311746337E-3</v>
      </c>
      <c r="Z8">
        <f t="shared" si="1"/>
        <v>4.9952883978930163E-2</v>
      </c>
      <c r="AA8">
        <f t="shared" si="2"/>
        <v>-3.3070664732110656E-2</v>
      </c>
      <c r="AB8">
        <f t="shared" si="3"/>
        <v>-2.1347013492094783E-2</v>
      </c>
      <c r="AD8">
        <f t="shared" si="7"/>
        <v>3.7023146457831058E-2</v>
      </c>
      <c r="AW8">
        <f t="shared" si="4"/>
        <v>1.6056581720732168E-3</v>
      </c>
      <c r="AX8">
        <f t="shared" si="5"/>
        <v>8.0355317392100361E-4</v>
      </c>
      <c r="AZ8">
        <f>(AD8-D8)^2</f>
        <v>9.0138932322837359E-4</v>
      </c>
    </row>
    <row r="9" spans="1:52" ht="34" x14ac:dyDescent="0.2">
      <c r="A9" s="13">
        <v>17</v>
      </c>
      <c r="B9" t="s">
        <v>173</v>
      </c>
      <c r="C9" s="11" t="s">
        <v>157</v>
      </c>
      <c r="D9">
        <v>7.3499999999999998E-3</v>
      </c>
      <c r="E9" t="s">
        <v>155</v>
      </c>
      <c r="F9">
        <v>100</v>
      </c>
      <c r="G9">
        <v>54</v>
      </c>
      <c r="H9">
        <v>20945</v>
      </c>
      <c r="I9">
        <v>4100</v>
      </c>
      <c r="J9">
        <v>8999</v>
      </c>
      <c r="K9" s="12">
        <v>4.8989999999999997E-9</v>
      </c>
      <c r="L9">
        <v>20</v>
      </c>
      <c r="M9">
        <v>2</v>
      </c>
      <c r="N9" t="s">
        <v>120</v>
      </c>
      <c r="O9">
        <v>20</v>
      </c>
      <c r="P9">
        <v>0.2</v>
      </c>
      <c r="Q9">
        <v>53.925762348686298</v>
      </c>
      <c r="R9">
        <v>1778</v>
      </c>
      <c r="S9">
        <v>934</v>
      </c>
      <c r="T9">
        <v>1483</v>
      </c>
      <c r="U9">
        <v>21.603759398496202</v>
      </c>
      <c r="V9">
        <v>1066</v>
      </c>
      <c r="W9">
        <v>3367</v>
      </c>
      <c r="X9">
        <v>2301</v>
      </c>
      <c r="Y9">
        <f t="shared" si="0"/>
        <v>0.17365462831123687</v>
      </c>
      <c r="Z9">
        <f t="shared" si="1"/>
        <v>0.18974069856990292</v>
      </c>
      <c r="AA9">
        <f t="shared" si="2"/>
        <v>-7.4940956228042102E-2</v>
      </c>
      <c r="AB9">
        <f t="shared" si="3"/>
        <v>-4.215808032305899E-2</v>
      </c>
      <c r="AD9">
        <f t="shared" si="7"/>
        <v>0.12468970417668113</v>
      </c>
      <c r="AW9">
        <f t="shared" si="4"/>
        <v>6.7718014769255408E-3</v>
      </c>
      <c r="AX9">
        <f t="shared" si="5"/>
        <v>2.4510500172744611E-3</v>
      </c>
      <c r="AZ9">
        <f t="shared" si="6"/>
        <v>1.3768606176271039E-2</v>
      </c>
    </row>
    <row r="10" spans="1:52" ht="34" x14ac:dyDescent="0.2">
      <c r="A10" s="13">
        <v>18</v>
      </c>
      <c r="B10" t="s">
        <v>172</v>
      </c>
      <c r="C10" s="11" t="s">
        <v>154</v>
      </c>
      <c r="D10">
        <v>0</v>
      </c>
      <c r="E10" t="s">
        <v>155</v>
      </c>
      <c r="F10">
        <v>0</v>
      </c>
      <c r="G10">
        <v>2.5</v>
      </c>
      <c r="H10">
        <v>20945</v>
      </c>
      <c r="I10">
        <v>4080</v>
      </c>
      <c r="J10">
        <v>5130</v>
      </c>
      <c r="K10" s="12">
        <v>1.0500000000000001E-9</v>
      </c>
      <c r="L10">
        <v>20</v>
      </c>
      <c r="M10">
        <v>2</v>
      </c>
      <c r="N10" t="s">
        <v>120</v>
      </c>
      <c r="O10">
        <v>20</v>
      </c>
      <c r="P10">
        <v>0.2</v>
      </c>
      <c r="Q10">
        <v>2.47719396139335</v>
      </c>
      <c r="R10">
        <v>1718</v>
      </c>
      <c r="S10">
        <v>1514</v>
      </c>
      <c r="T10">
        <v>1514</v>
      </c>
      <c r="U10">
        <v>35.220300751879698</v>
      </c>
      <c r="V10">
        <v>2274</v>
      </c>
      <c r="W10">
        <v>4095</v>
      </c>
      <c r="X10">
        <v>1821</v>
      </c>
      <c r="Y10">
        <f t="shared" si="0"/>
        <v>-0.13851593540997237</v>
      </c>
      <c r="Z10">
        <f t="shared" si="1"/>
        <v>-6.9745699679883172E-2</v>
      </c>
      <c r="AA10">
        <f t="shared" si="2"/>
        <v>4.6375328640970801E-3</v>
      </c>
      <c r="AB10">
        <f t="shared" si="3"/>
        <v>-3.5267533257541356E-3</v>
      </c>
      <c r="AD10">
        <f t="shared" si="7"/>
        <v>4.1970444200560911E-2</v>
      </c>
      <c r="AW10">
        <f t="shared" si="4"/>
        <v>2.1506711065580468E-5</v>
      </c>
      <c r="AX10">
        <f t="shared" si="5"/>
        <v>1.2437989020717855E-5</v>
      </c>
      <c r="AZ10">
        <f t="shared" si="6"/>
        <v>1.7615181863923971E-3</v>
      </c>
    </row>
    <row r="11" spans="1:52" ht="34" x14ac:dyDescent="0.2">
      <c r="A11" s="13">
        <v>70</v>
      </c>
      <c r="B11" t="s">
        <v>300</v>
      </c>
      <c r="C11" s="11" t="s">
        <v>284</v>
      </c>
      <c r="D11">
        <v>0.59199999999999997</v>
      </c>
      <c r="E11" t="s">
        <v>282</v>
      </c>
      <c r="F11">
        <v>100</v>
      </c>
      <c r="G11">
        <v>53.5</v>
      </c>
      <c r="H11">
        <v>20885</v>
      </c>
      <c r="I11">
        <v>4120</v>
      </c>
      <c r="J11">
        <v>8995</v>
      </c>
      <c r="K11" s="12">
        <v>4.8749999999999998E-9</v>
      </c>
      <c r="L11">
        <v>20</v>
      </c>
      <c r="M11">
        <v>2</v>
      </c>
      <c r="N11" t="s">
        <v>120</v>
      </c>
      <c r="O11">
        <v>20</v>
      </c>
      <c r="P11">
        <v>0.2</v>
      </c>
      <c r="Q11">
        <v>53.398696361667902</v>
      </c>
      <c r="R11">
        <v>1711</v>
      </c>
      <c r="S11">
        <v>442</v>
      </c>
      <c r="T11">
        <v>1462</v>
      </c>
      <c r="U11">
        <v>4.6699248120300698</v>
      </c>
      <c r="V11">
        <v>454</v>
      </c>
      <c r="W11">
        <v>2274</v>
      </c>
      <c r="X11">
        <v>1820</v>
      </c>
      <c r="Y11">
        <f t="shared" si="0"/>
        <v>0.40758324278322777</v>
      </c>
      <c r="Z11">
        <f t="shared" si="1"/>
        <v>0.4521719004159227</v>
      </c>
      <c r="AA11">
        <f t="shared" si="2"/>
        <v>-0.13457401539028813</v>
      </c>
      <c r="AB11">
        <f t="shared" si="3"/>
        <v>-8.1227818240690516E-2</v>
      </c>
      <c r="AD11">
        <f t="shared" si="7"/>
        <v>0.56119412369818478</v>
      </c>
      <c r="AW11">
        <f t="shared" si="4"/>
        <v>0.52790979984036657</v>
      </c>
      <c r="AX11">
        <f t="shared" si="5"/>
        <v>0.45323569525312013</v>
      </c>
      <c r="AZ11">
        <f t="shared" si="6"/>
        <v>9.4900201472273898E-4</v>
      </c>
    </row>
    <row r="12" spans="1:52" ht="34" x14ac:dyDescent="0.2">
      <c r="A12" s="13">
        <v>71</v>
      </c>
      <c r="B12" t="s">
        <v>301</v>
      </c>
      <c r="C12" s="11" t="s">
        <v>286</v>
      </c>
      <c r="D12">
        <v>0.316</v>
      </c>
      <c r="E12" t="s">
        <v>282</v>
      </c>
      <c r="F12">
        <v>100</v>
      </c>
      <c r="G12">
        <v>51.3</v>
      </c>
      <c r="H12">
        <v>20885</v>
      </c>
      <c r="I12">
        <v>4120</v>
      </c>
      <c r="J12">
        <v>8894</v>
      </c>
      <c r="K12" s="12">
        <v>4.7740000000000003E-9</v>
      </c>
      <c r="L12">
        <v>20</v>
      </c>
      <c r="M12">
        <v>2</v>
      </c>
      <c r="N12" t="s">
        <v>120</v>
      </c>
      <c r="O12">
        <v>20</v>
      </c>
      <c r="P12">
        <v>0.2</v>
      </c>
      <c r="Q12">
        <v>51.2089939599609</v>
      </c>
      <c r="R12">
        <v>1715</v>
      </c>
      <c r="S12">
        <v>523</v>
      </c>
      <c r="T12">
        <v>1467</v>
      </c>
      <c r="U12">
        <v>6.7842105263157899</v>
      </c>
      <c r="V12">
        <v>535</v>
      </c>
      <c r="W12">
        <v>2283</v>
      </c>
      <c r="X12">
        <v>1748</v>
      </c>
      <c r="Y12">
        <f t="shared" si="0"/>
        <v>0.3204932512952241</v>
      </c>
      <c r="Z12">
        <f t="shared" si="1"/>
        <v>0.32778308690083757</v>
      </c>
      <c r="AA12">
        <f t="shared" si="2"/>
        <v>-0.11237304341186666</v>
      </c>
      <c r="AB12">
        <f t="shared" si="3"/>
        <v>-6.2709294872531698E-2</v>
      </c>
      <c r="AD12">
        <f t="shared" si="7"/>
        <v>0.31006237909556827</v>
      </c>
      <c r="AW12">
        <f t="shared" si="4"/>
        <v>0.183503464321945</v>
      </c>
      <c r="AX12">
        <f t="shared" si="5"/>
        <v>0.14342073002285016</v>
      </c>
      <c r="AZ12">
        <f t="shared" si="6"/>
        <v>3.5255342004744661E-5</v>
      </c>
    </row>
    <row r="13" spans="1:52" ht="34" x14ac:dyDescent="0.2">
      <c r="A13" s="13">
        <v>72</v>
      </c>
      <c r="B13" t="s">
        <v>302</v>
      </c>
      <c r="C13" s="11" t="s">
        <v>288</v>
      </c>
      <c r="D13">
        <v>0.106</v>
      </c>
      <c r="E13" t="s">
        <v>282</v>
      </c>
      <c r="F13">
        <v>44.8</v>
      </c>
      <c r="G13">
        <v>21.9</v>
      </c>
      <c r="H13">
        <v>20885</v>
      </c>
      <c r="I13">
        <v>4120</v>
      </c>
      <c r="J13">
        <v>7243</v>
      </c>
      <c r="K13" s="12">
        <v>3.1230000000000001E-9</v>
      </c>
      <c r="L13">
        <v>20</v>
      </c>
      <c r="M13">
        <v>2</v>
      </c>
      <c r="N13" t="s">
        <v>120</v>
      </c>
      <c r="O13">
        <v>20</v>
      </c>
      <c r="P13">
        <v>0.2</v>
      </c>
      <c r="Q13">
        <v>21.914187994095599</v>
      </c>
      <c r="R13">
        <v>1707</v>
      </c>
      <c r="S13">
        <v>919</v>
      </c>
      <c r="T13">
        <v>1474</v>
      </c>
      <c r="U13">
        <v>8.6744360902255604</v>
      </c>
      <c r="V13">
        <v>935</v>
      </c>
      <c r="W13">
        <v>2422</v>
      </c>
      <c r="X13">
        <v>1487</v>
      </c>
      <c r="Y13">
        <f t="shared" si="0"/>
        <v>-7.3182086598791024E-3</v>
      </c>
      <c r="Z13">
        <f t="shared" si="1"/>
        <v>-5.5527010464000638E-2</v>
      </c>
      <c r="AA13">
        <f t="shared" si="2"/>
        <v>-2.8807378605582318E-2</v>
      </c>
      <c r="AB13">
        <f t="shared" si="3"/>
        <v>-5.6435765437597941E-3</v>
      </c>
      <c r="AD13">
        <f>$AS$3*AB13^2+$AT$3*AB13+$AU$3</f>
        <v>3.7519119415527546E-2</v>
      </c>
      <c r="AW13">
        <f t="shared" si="4"/>
        <v>1.8173029326508813E-2</v>
      </c>
      <c r="AX13">
        <f t="shared" si="5"/>
        <v>1.2464288183482353E-2</v>
      </c>
      <c r="AZ13">
        <f t="shared" si="6"/>
        <v>4.6896310056247755E-3</v>
      </c>
    </row>
    <row r="14" spans="1:52" ht="34" x14ac:dyDescent="0.2">
      <c r="A14" s="13">
        <v>73</v>
      </c>
      <c r="B14" t="s">
        <v>303</v>
      </c>
      <c r="C14" s="11" t="s">
        <v>290</v>
      </c>
      <c r="D14">
        <v>2.8400000000000002E-2</v>
      </c>
      <c r="E14" t="s">
        <v>282</v>
      </c>
      <c r="F14">
        <v>100</v>
      </c>
      <c r="G14">
        <v>52.4</v>
      </c>
      <c r="H14">
        <v>20885</v>
      </c>
      <c r="I14">
        <v>4120</v>
      </c>
      <c r="J14">
        <v>8946</v>
      </c>
      <c r="K14" s="12">
        <v>4.8259999999999997E-9</v>
      </c>
      <c r="L14">
        <v>20</v>
      </c>
      <c r="M14">
        <v>2</v>
      </c>
      <c r="N14" t="s">
        <v>120</v>
      </c>
      <c r="O14">
        <v>20</v>
      </c>
      <c r="P14">
        <v>0.2</v>
      </c>
      <c r="Q14">
        <v>52.330640423024498</v>
      </c>
      <c r="R14">
        <v>1715</v>
      </c>
      <c r="S14">
        <v>858</v>
      </c>
      <c r="T14">
        <v>1475</v>
      </c>
      <c r="U14">
        <v>19.4233082706766</v>
      </c>
      <c r="V14">
        <v>955</v>
      </c>
      <c r="W14">
        <v>2942</v>
      </c>
      <c r="X14">
        <v>1987</v>
      </c>
      <c r="Y14">
        <f t="shared" si="0"/>
        <v>0.15543812493132811</v>
      </c>
      <c r="Z14">
        <f t="shared" si="1"/>
        <v>0.14245339976198906</v>
      </c>
      <c r="AA14">
        <f t="shared" si="2"/>
        <v>-7.0297206996101008E-2</v>
      </c>
      <c r="AB14">
        <f t="shared" si="3"/>
        <v>-3.5118130963904898E-2</v>
      </c>
      <c r="AD14">
        <f t="shared" si="7"/>
        <v>8.3765675730991335E-2</v>
      </c>
      <c r="AW14">
        <f t="shared" si="4"/>
        <v>9.7411386688312108E-3</v>
      </c>
      <c r="AX14">
        <f t="shared" si="5"/>
        <v>4.0345529611477754E-3</v>
      </c>
      <c r="AZ14">
        <f t="shared" si="6"/>
        <v>3.0653580491492825E-3</v>
      </c>
    </row>
    <row r="15" spans="1:52" ht="34" x14ac:dyDescent="0.2">
      <c r="A15" s="13">
        <v>74</v>
      </c>
      <c r="B15" t="s">
        <v>304</v>
      </c>
      <c r="C15" s="11" t="s">
        <v>281</v>
      </c>
      <c r="D15">
        <v>1.7999999999999999E-2</v>
      </c>
      <c r="E15" t="s">
        <v>282</v>
      </c>
      <c r="F15">
        <v>50.5</v>
      </c>
      <c r="G15">
        <v>24.7</v>
      </c>
      <c r="H15">
        <v>20885</v>
      </c>
      <c r="I15">
        <v>3940</v>
      </c>
      <c r="J15">
        <v>7256</v>
      </c>
      <c r="K15" s="12">
        <v>3.3159999999999902E-9</v>
      </c>
      <c r="L15">
        <v>20</v>
      </c>
      <c r="M15">
        <v>2</v>
      </c>
      <c r="N15" t="s">
        <v>120</v>
      </c>
      <c r="O15">
        <v>20</v>
      </c>
      <c r="P15">
        <v>0.2</v>
      </c>
      <c r="Q15">
        <v>24.706456311610701</v>
      </c>
      <c r="R15">
        <v>1727</v>
      </c>
      <c r="S15">
        <v>1279</v>
      </c>
      <c r="T15">
        <v>1703</v>
      </c>
      <c r="U15">
        <v>26.658646616541301</v>
      </c>
      <c r="V15">
        <v>1318</v>
      </c>
      <c r="W15">
        <v>3331</v>
      </c>
      <c r="X15">
        <v>2013</v>
      </c>
      <c r="Y15">
        <f t="shared" si="0"/>
        <v>-1.0797728368881182E-2</v>
      </c>
      <c r="Z15">
        <f t="shared" si="1"/>
        <v>2.8760321576143388E-5</v>
      </c>
      <c r="AA15">
        <f t="shared" si="2"/>
        <v>-2.7920379787026214E-2</v>
      </c>
      <c r="AB15">
        <f t="shared" si="3"/>
        <v>-1.3914503892094136E-2</v>
      </c>
      <c r="AD15">
        <f t="shared" si="7"/>
        <v>3.0112799156710758E-2</v>
      </c>
      <c r="AW15">
        <f t="shared" si="4"/>
        <v>2.1086812797847256E-3</v>
      </c>
      <c r="AX15">
        <f t="shared" si="5"/>
        <v>1.0185355586784914E-3</v>
      </c>
      <c r="AZ15">
        <f t="shared" si="6"/>
        <v>1.4671990341081289E-4</v>
      </c>
    </row>
    <row r="16" spans="1:52" ht="34" x14ac:dyDescent="0.2">
      <c r="A16" s="13">
        <v>115</v>
      </c>
      <c r="B16" t="s">
        <v>352</v>
      </c>
      <c r="C16" s="11" t="s">
        <v>344</v>
      </c>
      <c r="D16">
        <v>0.24099999999999999</v>
      </c>
      <c r="E16" t="s">
        <v>345</v>
      </c>
      <c r="F16">
        <v>100</v>
      </c>
      <c r="G16">
        <v>51.6</v>
      </c>
      <c r="H16">
        <v>20885</v>
      </c>
      <c r="I16">
        <v>4120</v>
      </c>
      <c r="J16">
        <v>8908</v>
      </c>
      <c r="K16" s="12">
        <v>4.7879999999999996E-9</v>
      </c>
      <c r="L16">
        <v>20</v>
      </c>
      <c r="M16">
        <v>2</v>
      </c>
      <c r="N16" t="s">
        <v>120</v>
      </c>
      <c r="O16">
        <v>20</v>
      </c>
      <c r="P16">
        <v>0.2</v>
      </c>
      <c r="Q16">
        <v>51.509780355628799</v>
      </c>
      <c r="R16">
        <v>1711</v>
      </c>
      <c r="S16">
        <v>570</v>
      </c>
      <c r="T16">
        <v>1467</v>
      </c>
      <c r="U16">
        <v>8.1233082706766897</v>
      </c>
      <c r="V16">
        <v>594</v>
      </c>
      <c r="W16">
        <v>2295</v>
      </c>
      <c r="X16">
        <v>1701</v>
      </c>
      <c r="Y16">
        <f t="shared" si="0"/>
        <v>0.27254416221444644</v>
      </c>
      <c r="Z16">
        <f t="shared" si="1"/>
        <v>0.25814665991707408</v>
      </c>
      <c r="AA16">
        <f t="shared" si="2"/>
        <v>-0.10014986638675681</v>
      </c>
      <c r="AB16">
        <f t="shared" si="3"/>
        <v>-5.2342094125677426E-2</v>
      </c>
      <c r="AD16">
        <f t="shared" si="7"/>
        <v>0.20427833497749001</v>
      </c>
      <c r="AW16">
        <f t="shared" si="4"/>
        <v>0.11638323133570203</v>
      </c>
      <c r="AX16">
        <f t="shared" si="5"/>
        <v>8.6049584186037781E-2</v>
      </c>
      <c r="AZ16">
        <f t="shared" si="6"/>
        <v>1.3484806820254329E-3</v>
      </c>
    </row>
    <row r="17" spans="1:52" ht="34" x14ac:dyDescent="0.2">
      <c r="A17" s="13">
        <v>116</v>
      </c>
      <c r="B17" t="s">
        <v>353</v>
      </c>
      <c r="C17" s="11" t="s">
        <v>347</v>
      </c>
      <c r="D17">
        <v>0.28199999999999997</v>
      </c>
      <c r="E17" t="s">
        <v>345</v>
      </c>
      <c r="F17">
        <v>100</v>
      </c>
      <c r="G17">
        <v>52.5</v>
      </c>
      <c r="H17">
        <v>20885</v>
      </c>
      <c r="I17">
        <v>4120</v>
      </c>
      <c r="J17">
        <v>8952</v>
      </c>
      <c r="K17" s="12">
        <v>4.8319999999999999E-9</v>
      </c>
      <c r="L17">
        <v>20</v>
      </c>
      <c r="M17">
        <v>2</v>
      </c>
      <c r="N17" t="s">
        <v>120</v>
      </c>
      <c r="O17">
        <v>20</v>
      </c>
      <c r="P17">
        <v>0.2</v>
      </c>
      <c r="Q17">
        <v>52.460843085768097</v>
      </c>
      <c r="R17">
        <v>1715</v>
      </c>
      <c r="S17">
        <v>547</v>
      </c>
      <c r="T17">
        <v>1470</v>
      </c>
      <c r="U17">
        <v>7.4518796992481198</v>
      </c>
      <c r="V17">
        <v>574</v>
      </c>
      <c r="W17">
        <v>2291</v>
      </c>
      <c r="X17">
        <v>1717</v>
      </c>
      <c r="Y17">
        <f t="shared" si="0"/>
        <v>0.29258962120505105</v>
      </c>
      <c r="Z17">
        <f>AB17*$AO$2+$AP$2</f>
        <v>0.28467985406075447</v>
      </c>
      <c r="AA17">
        <f t="shared" si="2"/>
        <v>-0.10525985280128425</v>
      </c>
      <c r="AB17">
        <f t="shared" si="3"/>
        <v>-5.6292253001676763E-2</v>
      </c>
      <c r="AD17">
        <f t="shared" si="7"/>
        <v>0.24163842476418318</v>
      </c>
      <c r="AW17">
        <f t="shared" si="4"/>
        <v>0.14997019359167232</v>
      </c>
      <c r="AX17">
        <f t="shared" si="5"/>
        <v>0.11444164844095048</v>
      </c>
      <c r="AZ17">
        <f t="shared" si="6"/>
        <v>1.6290567555164994E-3</v>
      </c>
    </row>
    <row r="18" spans="1:52" ht="34" x14ac:dyDescent="0.2">
      <c r="A18" s="13">
        <v>117</v>
      </c>
      <c r="B18" t="s">
        <v>354</v>
      </c>
      <c r="C18" s="11" t="s">
        <v>349</v>
      </c>
      <c r="D18">
        <v>0.25800000000000001</v>
      </c>
      <c r="E18" t="s">
        <v>345</v>
      </c>
      <c r="F18">
        <v>100</v>
      </c>
      <c r="G18">
        <v>52</v>
      </c>
      <c r="H18">
        <v>20885</v>
      </c>
      <c r="I18">
        <v>4120</v>
      </c>
      <c r="J18">
        <v>8929</v>
      </c>
      <c r="K18" s="12">
        <v>4.8090000000000002E-9</v>
      </c>
      <c r="L18">
        <v>20</v>
      </c>
      <c r="M18">
        <v>2</v>
      </c>
      <c r="N18" t="s">
        <v>120</v>
      </c>
      <c r="O18">
        <v>20</v>
      </c>
      <c r="P18">
        <v>0.2</v>
      </c>
      <c r="Q18">
        <v>51.962611411771498</v>
      </c>
      <c r="R18">
        <v>1706</v>
      </c>
      <c r="S18">
        <v>562</v>
      </c>
      <c r="T18">
        <v>1467</v>
      </c>
      <c r="U18">
        <v>7.8496240601503704</v>
      </c>
      <c r="V18">
        <v>583</v>
      </c>
      <c r="W18">
        <v>2291</v>
      </c>
      <c r="X18">
        <v>1708</v>
      </c>
      <c r="Y18">
        <f t="shared" si="0"/>
        <v>0.28281808448297852</v>
      </c>
      <c r="Z18">
        <f t="shared" si="1"/>
        <v>0.27222971496994408</v>
      </c>
      <c r="AA18">
        <f t="shared" si="2"/>
        <v>-0.10276889363081826</v>
      </c>
      <c r="AB18">
        <f t="shared" si="3"/>
        <v>-5.4438724656364262E-2</v>
      </c>
      <c r="AD18">
        <f t="shared" si="7"/>
        <v>0.22365630546861451</v>
      </c>
      <c r="AW18">
        <f>(AA18-D18)^2</f>
        <v>0.13015419461160466</v>
      </c>
      <c r="AX18">
        <f t="shared" si="5"/>
        <v>9.7617956664895394E-2</v>
      </c>
      <c r="AZ18">
        <f t="shared" si="6"/>
        <v>1.1794893540651183E-3</v>
      </c>
    </row>
    <row r="19" spans="1:52" ht="34" x14ac:dyDescent="0.2">
      <c r="A19" s="13">
        <v>118</v>
      </c>
      <c r="B19" t="s">
        <v>355</v>
      </c>
      <c r="C19" s="11" t="s">
        <v>351</v>
      </c>
      <c r="D19">
        <v>0.15670000000000001</v>
      </c>
      <c r="E19" t="s">
        <v>345</v>
      </c>
      <c r="F19">
        <v>100</v>
      </c>
      <c r="G19">
        <v>51.9</v>
      </c>
      <c r="H19">
        <v>20885</v>
      </c>
      <c r="I19">
        <v>4120</v>
      </c>
      <c r="J19">
        <v>8923</v>
      </c>
      <c r="K19" s="12">
        <v>4.8030000000000001E-9</v>
      </c>
      <c r="L19">
        <v>20</v>
      </c>
      <c r="M19">
        <v>2</v>
      </c>
      <c r="N19" t="s">
        <v>120</v>
      </c>
      <c r="O19">
        <v>20</v>
      </c>
      <c r="P19">
        <v>0.2</v>
      </c>
      <c r="Q19">
        <v>51.833028890101197</v>
      </c>
      <c r="R19">
        <v>1707</v>
      </c>
      <c r="S19">
        <v>639</v>
      </c>
      <c r="T19">
        <v>1474</v>
      </c>
      <c r="U19">
        <v>10.751127819548801</v>
      </c>
      <c r="V19">
        <v>682</v>
      </c>
      <c r="W19">
        <v>2327</v>
      </c>
      <c r="X19">
        <v>1645</v>
      </c>
      <c r="Y19">
        <f t="shared" si="0"/>
        <v>0.20948619806931038</v>
      </c>
      <c r="Z19">
        <f t="shared" si="1"/>
        <v>0.16977412578813481</v>
      </c>
      <c r="AA19">
        <f t="shared" si="2"/>
        <v>-8.4075136431187719E-2</v>
      </c>
      <c r="AB19">
        <f t="shared" si="3"/>
        <v>-3.9185534527400478E-2</v>
      </c>
      <c r="AD19">
        <f t="shared" si="7"/>
        <v>0.1060046726287307</v>
      </c>
      <c r="AW19">
        <f>(AA19-D19)^2</f>
        <v>5.7972666323457066E-2</v>
      </c>
      <c r="AX19">
        <f t="shared" si="5"/>
        <v>3.8371142637085409E-2</v>
      </c>
      <c r="AZ19">
        <f t="shared" si="6"/>
        <v>2.570016217280167E-3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D0C5-7AF8-9842-BCA3-8A82651C602E}">
  <dimension ref="A1:BI26"/>
  <sheetViews>
    <sheetView topLeftCell="X11" zoomScale="110" zoomScaleNormal="110" workbookViewId="0">
      <selection activeCell="BB2" sqref="BB2:BI2"/>
    </sheetView>
  </sheetViews>
  <sheetFormatPr baseColWidth="10" defaultRowHeight="16" x14ac:dyDescent="0.2"/>
  <cols>
    <col min="27" max="27" width="12.6640625" customWidth="1"/>
    <col min="28" max="28" width="14.1640625" customWidth="1"/>
    <col min="31" max="31" width="12.5" bestFit="1" customWidth="1"/>
    <col min="35" max="35" width="12.6640625" customWidth="1"/>
    <col min="52" max="52" width="11.1640625" bestFit="1" customWidth="1"/>
    <col min="53" max="53" width="12.5" bestFit="1" customWidth="1"/>
  </cols>
  <sheetData>
    <row r="1" spans="1:61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E1" t="s">
        <v>400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  <c r="BA1" t="s">
        <v>402</v>
      </c>
      <c r="BB1" t="s">
        <v>148</v>
      </c>
      <c r="BC1" t="s">
        <v>21</v>
      </c>
      <c r="BD1" t="s">
        <v>24</v>
      </c>
      <c r="BE1" t="s">
        <v>25</v>
      </c>
      <c r="BF1" t="s">
        <v>27</v>
      </c>
      <c r="BG1" t="s">
        <v>150</v>
      </c>
      <c r="BH1" t="s">
        <v>386</v>
      </c>
      <c r="BI1" t="s">
        <v>401</v>
      </c>
    </row>
    <row r="2" spans="1:61" ht="34" x14ac:dyDescent="0.2">
      <c r="A2" s="13">
        <v>37</v>
      </c>
      <c r="B2" t="s">
        <v>213</v>
      </c>
      <c r="C2" s="11" t="s">
        <v>184</v>
      </c>
      <c r="D2">
        <v>0.437</v>
      </c>
      <c r="E2" t="s">
        <v>202</v>
      </c>
      <c r="F2">
        <v>99.9</v>
      </c>
      <c r="G2">
        <v>42.6</v>
      </c>
      <c r="H2">
        <v>27780</v>
      </c>
      <c r="I2">
        <v>4160</v>
      </c>
      <c r="J2">
        <v>12859</v>
      </c>
      <c r="K2" s="12">
        <v>8.6990000000000007E-9</v>
      </c>
      <c r="L2">
        <v>20</v>
      </c>
      <c r="M2">
        <v>6</v>
      </c>
      <c r="N2" t="s">
        <v>203</v>
      </c>
      <c r="O2">
        <v>40</v>
      </c>
      <c r="P2">
        <v>0.4</v>
      </c>
      <c r="Q2">
        <v>42.506963773271799</v>
      </c>
      <c r="R2">
        <v>3131</v>
      </c>
      <c r="S2">
        <v>2814</v>
      </c>
      <c r="T2">
        <v>3122</v>
      </c>
      <c r="U2">
        <v>1.6030075187969901</v>
      </c>
      <c r="V2">
        <v>2815</v>
      </c>
      <c r="W2">
        <v>3187</v>
      </c>
      <c r="X2">
        <v>372</v>
      </c>
      <c r="Y2">
        <f>AA2*$AM$2+$AN$2</f>
        <v>0.40175876072809341</v>
      </c>
      <c r="Z2">
        <f>AB2*$AO$2+$AP$2</f>
        <v>0.40211922252875926</v>
      </c>
      <c r="AA2">
        <f>((Q2^0.5)/(120*3.1415*P2))*LN($AI$2*V2/X2)</f>
        <v>8.7503296709247447E-2</v>
      </c>
      <c r="AB2">
        <f>((Q2^0.5)/(120*3.14*P2))*LN((V2*($AJ$2*R2-V2))/(R2*X2))</f>
        <v>9.1704364451449916E-2</v>
      </c>
      <c r="AC2">
        <f>$AS$2*AA2^2+$AT$2*AA2+$AU$2</f>
        <v>6.4692127411333511E-2</v>
      </c>
      <c r="AD2">
        <f>$AS$3*AB2^2+$AT$3*AB2+$AU$3</f>
        <v>0.41551450864537287</v>
      </c>
      <c r="AE2">
        <f>$BB$2*Q2+$BC$2*R2+$BD$2*V2+$BE$2*W2+$BF$2*X2+$BG$2*U2+$BH$2*AD2+$BI$2</f>
        <v>0.41662157228165364</v>
      </c>
      <c r="AH2" t="s">
        <v>376</v>
      </c>
      <c r="AI2">
        <v>1</v>
      </c>
      <c r="AJ2">
        <v>2</v>
      </c>
      <c r="AK2">
        <f>RSQ(AA2:AA115,D2:D115)</f>
        <v>0.96051553515048704</v>
      </c>
      <c r="AL2">
        <f>RSQ(AB2:AB115,D2:D115)</f>
        <v>0.97653266922975157</v>
      </c>
      <c r="AM2">
        <f>SLOPE(D2:D19,AA2:AA19)</f>
        <v>4.3974868381679766</v>
      </c>
      <c r="AN2">
        <f>INTERCEPT(D2:D19,AA2:AA19)</f>
        <v>1.6964165152870525E-2</v>
      </c>
      <c r="AO2">
        <f>SLOPE(D2:D19,AB2:AB19)</f>
        <v>4.1415093284175661</v>
      </c>
      <c r="AP2">
        <f>INTERCEPT(D2:D19,AB2:AB19)</f>
        <v>2.2324741696475192E-2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0.12214794561110433</v>
      </c>
      <c r="AX2">
        <f>(AB2-D2)^2</f>
        <v>0.11922907592887712</v>
      </c>
      <c r="AZ2">
        <f>(AD2-D2)^2</f>
        <v>4.6162633874975711E-4</v>
      </c>
      <c r="BA2">
        <f>(D2-AE2)^2</f>
        <v>4.1528031627186717E-4</v>
      </c>
      <c r="BB2">
        <v>-6.5700000000000003E-4</v>
      </c>
      <c r="BC2">
        <v>4.3999999999999999E-5</v>
      </c>
      <c r="BD2">
        <v>1.4E-5</v>
      </c>
      <c r="BE2">
        <v>8.1000000000000004E-5</v>
      </c>
      <c r="BF2">
        <v>6.7000000000000002E-5</v>
      </c>
      <c r="BG2">
        <v>-1.9000000000000001E-4</v>
      </c>
      <c r="BH2">
        <v>1.17164</v>
      </c>
      <c r="BI2">
        <v>-0.50222520000000004</v>
      </c>
    </row>
    <row r="3" spans="1:61" ht="34" x14ac:dyDescent="0.2">
      <c r="A3" s="13">
        <v>38</v>
      </c>
      <c r="B3" t="s">
        <v>211</v>
      </c>
      <c r="C3" s="11" t="s">
        <v>167</v>
      </c>
      <c r="D3">
        <v>0.41399999999999998</v>
      </c>
      <c r="E3" t="s">
        <v>202</v>
      </c>
      <c r="F3">
        <v>99.9</v>
      </c>
      <c r="G3">
        <v>42.5</v>
      </c>
      <c r="H3">
        <v>27780</v>
      </c>
      <c r="I3">
        <v>4160</v>
      </c>
      <c r="J3">
        <v>12852</v>
      </c>
      <c r="K3" s="12">
        <v>8.6919999999999993E-9</v>
      </c>
      <c r="L3">
        <v>20</v>
      </c>
      <c r="M3">
        <v>6</v>
      </c>
      <c r="N3" t="s">
        <v>203</v>
      </c>
      <c r="O3">
        <v>40</v>
      </c>
      <c r="P3">
        <v>0.4</v>
      </c>
      <c r="Q3">
        <v>42.438581423775602</v>
      </c>
      <c r="R3">
        <v>3102</v>
      </c>
      <c r="S3">
        <v>2790</v>
      </c>
      <c r="T3">
        <v>3095</v>
      </c>
      <c r="U3">
        <v>1.9578947368421</v>
      </c>
      <c r="V3">
        <v>2791</v>
      </c>
      <c r="W3">
        <v>3207</v>
      </c>
      <c r="X3">
        <v>416</v>
      </c>
      <c r="Y3">
        <f t="shared" ref="Y3:Y19" si="0">AA3*$AM$2+$AN$2</f>
        <v>0.37858438544870171</v>
      </c>
      <c r="Z3">
        <f t="shared" ref="Z3:Z19" si="1">AB3*$AO$2+$AP$2</f>
        <v>0.38016083937802064</v>
      </c>
      <c r="AA3">
        <f t="shared" ref="AA3:AA19" si="2">((Q3^0.5)/(120*3.1415*P3))*LN($AI$2*V3/X3)</f>
        <v>8.223338320359469E-2</v>
      </c>
      <c r="AB3">
        <f t="shared" ref="AB3:AB19" si="3">((Q3^0.5)/(120*3.14*P3))*LN((V3*($AJ$2*R3-V3))/(R3*X3))</f>
        <v>8.6402340138702877E-2</v>
      </c>
      <c r="AD3">
        <f t="shared" ref="AD3:AD19" si="4">$AS$3*AB3^2+$AT$3*AB3+$AU$3</f>
        <v>0.39615257081807603</v>
      </c>
      <c r="AE3">
        <f t="shared" ref="AE3:AE19" si="5">$BB$2*Q3+$BC$2*R3+$BD$2*V3+$BE$2*W3+$BF$2*X3+$BG$2*U3+$BH$2*AD3+$BI$2</f>
        <v>0.39686985007787001</v>
      </c>
      <c r="AI3" t="s">
        <v>398</v>
      </c>
      <c r="AJ3" t="s">
        <v>397</v>
      </c>
      <c r="AL3" t="s">
        <v>399</v>
      </c>
      <c r="AR3" t="s">
        <v>227</v>
      </c>
      <c r="AS3">
        <v>-9.5701000000000001</v>
      </c>
      <c r="AT3">
        <v>5.3563000000000001</v>
      </c>
      <c r="AU3">
        <v>4.7999999999999996E-3</v>
      </c>
      <c r="AW3">
        <f t="shared" ref="AW3:AW19" si="6">(AA3-D3)^2</f>
        <v>0.11006908802053283</v>
      </c>
      <c r="AX3">
        <f t="shared" ref="AX3:AX19" si="7">(AB3-D3)^2</f>
        <v>0.10732022674659809</v>
      </c>
      <c r="AZ3">
        <f t="shared" ref="AZ3:AZ19" si="8">(AD3-D3)^2</f>
        <v>3.1853072840379044E-4</v>
      </c>
      <c r="BA3">
        <f t="shared" ref="BA3:BA19" si="9">(D3-AE3)^2</f>
        <v>2.9344203635464931E-4</v>
      </c>
    </row>
    <row r="4" spans="1:61" ht="34" x14ac:dyDescent="0.2">
      <c r="A4" s="13">
        <v>39</v>
      </c>
      <c r="B4" t="s">
        <v>212</v>
      </c>
      <c r="C4" s="11" t="s">
        <v>182</v>
      </c>
      <c r="D4">
        <v>0.42399999999999999</v>
      </c>
      <c r="E4" t="s">
        <v>202</v>
      </c>
      <c r="F4">
        <v>99.9</v>
      </c>
      <c r="G4">
        <v>43.4</v>
      </c>
      <c r="H4">
        <v>27780</v>
      </c>
      <c r="I4">
        <v>4160</v>
      </c>
      <c r="J4">
        <v>12948</v>
      </c>
      <c r="K4" s="12">
        <v>8.7879999999999907E-9</v>
      </c>
      <c r="L4">
        <v>20</v>
      </c>
      <c r="M4">
        <v>6</v>
      </c>
      <c r="N4" t="s">
        <v>203</v>
      </c>
      <c r="O4">
        <v>40</v>
      </c>
      <c r="P4">
        <v>0.4</v>
      </c>
      <c r="Q4">
        <v>43.381195855234701</v>
      </c>
      <c r="R4">
        <v>3115</v>
      </c>
      <c r="S4">
        <v>2798</v>
      </c>
      <c r="T4">
        <v>3103</v>
      </c>
      <c r="U4">
        <v>1.7864661654135301</v>
      </c>
      <c r="V4">
        <v>2802</v>
      </c>
      <c r="W4">
        <v>3183</v>
      </c>
      <c r="X4">
        <v>381</v>
      </c>
      <c r="Y4">
        <f t="shared" si="0"/>
        <v>0.40021480761909367</v>
      </c>
      <c r="Z4">
        <f t="shared" si="1"/>
        <v>0.40076756817627202</v>
      </c>
      <c r="AA4">
        <f t="shared" si="2"/>
        <v>8.7152197737080217E-2</v>
      </c>
      <c r="AB4">
        <f t="shared" si="3"/>
        <v>9.1377996877383946E-2</v>
      </c>
      <c r="AD4">
        <f t="shared" si="4"/>
        <v>0.41433822002199744</v>
      </c>
      <c r="AE4">
        <f t="shared" si="5"/>
        <v>0.41402715785825528</v>
      </c>
      <c r="AI4">
        <f>(AVERAGE(AW2:AW19))^0.5</f>
        <v>0.20903660283638487</v>
      </c>
      <c r="AJ4">
        <f>(AVERAGE(AX2:AX19))^0.5</f>
        <v>0.20603854102487068</v>
      </c>
      <c r="AL4">
        <f>(AVERAGE(AZ2:AZ19))^0.5</f>
        <v>1.675546569168793E-2</v>
      </c>
      <c r="AW4">
        <f>(AA4-D4)^2</f>
        <v>0.1134664418893591</v>
      </c>
      <c r="AX4">
        <f t="shared" si="7"/>
        <v>0.11063739696130159</v>
      </c>
      <c r="AZ4">
        <f t="shared" si="8"/>
        <v>9.3349992343330938E-5</v>
      </c>
      <c r="BA4">
        <f t="shared" si="9"/>
        <v>9.9457580384159196E-5</v>
      </c>
    </row>
    <row r="5" spans="1:61" ht="34" x14ac:dyDescent="0.2">
      <c r="A5" s="13">
        <v>40</v>
      </c>
      <c r="B5" t="s">
        <v>209</v>
      </c>
      <c r="C5" s="11" t="s">
        <v>210</v>
      </c>
      <c r="D5">
        <v>0.1552</v>
      </c>
      <c r="E5" t="s">
        <v>202</v>
      </c>
      <c r="F5">
        <v>97.3</v>
      </c>
      <c r="G5">
        <v>39.5</v>
      </c>
      <c r="H5">
        <v>27780</v>
      </c>
      <c r="I5">
        <v>4160</v>
      </c>
      <c r="J5">
        <v>12545</v>
      </c>
      <c r="K5" s="12">
        <v>8.3849999999999904E-9</v>
      </c>
      <c r="L5">
        <v>20</v>
      </c>
      <c r="M5">
        <v>6</v>
      </c>
      <c r="N5" t="s">
        <v>203</v>
      </c>
      <c r="O5">
        <v>40</v>
      </c>
      <c r="P5">
        <v>0.4</v>
      </c>
      <c r="Q5">
        <v>39.493675829089597</v>
      </c>
      <c r="R5">
        <v>2590</v>
      </c>
      <c r="S5">
        <v>2311</v>
      </c>
      <c r="T5">
        <v>2575</v>
      </c>
      <c r="U5">
        <v>6.8766917293232996</v>
      </c>
      <c r="V5">
        <v>2342</v>
      </c>
      <c r="W5">
        <v>3471</v>
      </c>
      <c r="X5">
        <v>1129</v>
      </c>
      <c r="Y5">
        <f t="shared" si="0"/>
        <v>0.15069091513540669</v>
      </c>
      <c r="Z5">
        <f t="shared" si="1"/>
        <v>0.16411792581882842</v>
      </c>
      <c r="AA5">
        <f t="shared" si="2"/>
        <v>3.0409812446021475E-2</v>
      </c>
      <c r="AB5">
        <f>((Q5^0.5)/(120*3.14*P5))*LN((V5*($AJ$2*R5-V5))/(R5*X5))</f>
        <v>3.4237079498872246E-2</v>
      </c>
      <c r="AD5">
        <f>$AS$3*AB5^2+$AT$3*AB5+$AU$3</f>
        <v>0.17696621194935036</v>
      </c>
      <c r="AE5">
        <f t="shared" si="5"/>
        <v>0.18140357612005364</v>
      </c>
      <c r="AW5">
        <f t="shared" si="6"/>
        <v>1.5572590909757137E-2</v>
      </c>
      <c r="AX5">
        <f t="shared" si="7"/>
        <v>1.4632028136162153E-2</v>
      </c>
      <c r="AZ5">
        <f>(AD5-D5)^2</f>
        <v>4.7376798262404224E-4</v>
      </c>
      <c r="BA5">
        <f t="shared" si="9"/>
        <v>6.8662740147944538E-4</v>
      </c>
    </row>
    <row r="6" spans="1:61" ht="34" x14ac:dyDescent="0.2">
      <c r="A6" s="13">
        <v>41</v>
      </c>
      <c r="B6" t="s">
        <v>207</v>
      </c>
      <c r="C6" s="11" t="s">
        <v>208</v>
      </c>
      <c r="D6">
        <v>7.9600000000000004E-2</v>
      </c>
      <c r="E6" t="s">
        <v>202</v>
      </c>
      <c r="F6">
        <v>96.7</v>
      </c>
      <c r="G6">
        <v>39.4</v>
      </c>
      <c r="H6">
        <v>27780</v>
      </c>
      <c r="I6">
        <v>4180</v>
      </c>
      <c r="J6">
        <v>12545</v>
      </c>
      <c r="K6" s="12">
        <v>8.3649999999999892E-9</v>
      </c>
      <c r="L6">
        <v>20</v>
      </c>
      <c r="M6">
        <v>6</v>
      </c>
      <c r="N6" t="s">
        <v>203</v>
      </c>
      <c r="O6">
        <v>40</v>
      </c>
      <c r="P6">
        <v>0.4</v>
      </c>
      <c r="Q6">
        <v>39.305498963541503</v>
      </c>
      <c r="R6">
        <v>2267</v>
      </c>
      <c r="S6">
        <v>2034</v>
      </c>
      <c r="T6">
        <v>2263</v>
      </c>
      <c r="U6">
        <v>10.410526315789401</v>
      </c>
      <c r="V6">
        <v>2086</v>
      </c>
      <c r="W6">
        <v>3490</v>
      </c>
      <c r="X6">
        <v>1404</v>
      </c>
      <c r="Y6">
        <f t="shared" si="0"/>
        <v>8.9351684034646689E-2</v>
      </c>
      <c r="Z6">
        <f t="shared" si="1"/>
        <v>0.10376404518615383</v>
      </c>
      <c r="AA6">
        <f t="shared" si="2"/>
        <v>1.646111098127432E-2</v>
      </c>
      <c r="AB6">
        <f t="shared" si="3"/>
        <v>1.9664160341465623E-2</v>
      </c>
      <c r="AD6">
        <f t="shared" si="4"/>
        <v>0.10642658340655543</v>
      </c>
      <c r="AE6">
        <f t="shared" si="5"/>
        <v>0.1003767293634098</v>
      </c>
      <c r="AW6">
        <f t="shared" si="6"/>
        <v>3.9865193065189595E-3</v>
      </c>
      <c r="AX6">
        <f t="shared" si="7"/>
        <v>3.5923048755735431E-3</v>
      </c>
      <c r="AZ6">
        <f t="shared" si="8"/>
        <v>7.1966557726887515E-4</v>
      </c>
      <c r="BA6">
        <f t="shared" si="9"/>
        <v>4.3167248304037481E-4</v>
      </c>
    </row>
    <row r="7" spans="1:61" ht="34" x14ac:dyDescent="0.2">
      <c r="A7" s="13">
        <v>42</v>
      </c>
      <c r="B7" t="s">
        <v>206</v>
      </c>
      <c r="C7" s="11" t="s">
        <v>161</v>
      </c>
      <c r="D7">
        <v>5.11E-2</v>
      </c>
      <c r="E7" t="s">
        <v>202</v>
      </c>
      <c r="F7">
        <v>97</v>
      </c>
      <c r="G7">
        <v>39.5</v>
      </c>
      <c r="H7">
        <v>27780</v>
      </c>
      <c r="I7">
        <v>4160</v>
      </c>
      <c r="J7">
        <v>12536</v>
      </c>
      <c r="K7" s="12">
        <v>8.376E-9</v>
      </c>
      <c r="L7">
        <v>20</v>
      </c>
      <c r="M7">
        <v>6</v>
      </c>
      <c r="N7" t="s">
        <v>203</v>
      </c>
      <c r="O7">
        <v>40</v>
      </c>
      <c r="P7">
        <v>0.4</v>
      </c>
      <c r="Q7">
        <v>39.408940629116302</v>
      </c>
      <c r="R7">
        <v>2095</v>
      </c>
      <c r="S7">
        <v>1895</v>
      </c>
      <c r="T7">
        <v>2070</v>
      </c>
      <c r="U7">
        <v>12.708270676691701</v>
      </c>
      <c r="V7">
        <v>1966</v>
      </c>
      <c r="W7">
        <v>3510</v>
      </c>
      <c r="X7">
        <v>1544</v>
      </c>
      <c r="Y7">
        <f t="shared" si="0"/>
        <v>6.1199031711663E-2</v>
      </c>
      <c r="Z7">
        <f t="shared" si="1"/>
        <v>7.431204039673453E-2</v>
      </c>
      <c r="AA7">
        <f t="shared" si="2"/>
        <v>1.0059124264990643E-2</v>
      </c>
      <c r="AB7">
        <f t="shared" si="3"/>
        <v>1.2552742147299041E-2</v>
      </c>
      <c r="AD7">
        <f t="shared" si="4"/>
        <v>7.0528279326507654E-2</v>
      </c>
      <c r="AE7">
        <f t="shared" si="5"/>
        <v>5.9564307768208535E-2</v>
      </c>
      <c r="AW7">
        <f t="shared" si="6"/>
        <v>1.6843534810964797E-3</v>
      </c>
      <c r="AX7">
        <f t="shared" si="7"/>
        <v>1.4858910879626157E-3</v>
      </c>
      <c r="AZ7">
        <f t="shared" si="8"/>
        <v>3.7745803758880469E-4</v>
      </c>
      <c r="BA7">
        <f t="shared" si="9"/>
        <v>7.1644505994955361E-5</v>
      </c>
    </row>
    <row r="8" spans="1:61" ht="34" x14ac:dyDescent="0.2">
      <c r="A8" s="13">
        <v>43</v>
      </c>
      <c r="B8" t="s">
        <v>205</v>
      </c>
      <c r="C8" s="11" t="s">
        <v>159</v>
      </c>
      <c r="D8">
        <v>7.0000000000000001E-3</v>
      </c>
      <c r="E8" t="s">
        <v>202</v>
      </c>
      <c r="F8">
        <v>42.5</v>
      </c>
      <c r="G8">
        <v>18.8</v>
      </c>
      <c r="H8">
        <v>27780</v>
      </c>
      <c r="I8">
        <v>4160</v>
      </c>
      <c r="J8">
        <v>9943</v>
      </c>
      <c r="K8" s="12">
        <v>5.7830000000000004E-9</v>
      </c>
      <c r="L8">
        <v>20</v>
      </c>
      <c r="M8">
        <v>6</v>
      </c>
      <c r="N8" t="s">
        <v>203</v>
      </c>
      <c r="O8">
        <v>40</v>
      </c>
      <c r="P8">
        <v>0.4</v>
      </c>
      <c r="Q8">
        <v>18.785718394816399</v>
      </c>
      <c r="R8">
        <v>1734</v>
      </c>
      <c r="S8">
        <v>1534</v>
      </c>
      <c r="T8">
        <v>1711</v>
      </c>
      <c r="U8">
        <v>20.506766917293199</v>
      </c>
      <c r="V8">
        <v>2154</v>
      </c>
      <c r="W8">
        <v>3846</v>
      </c>
      <c r="X8">
        <v>1692</v>
      </c>
      <c r="Y8">
        <f t="shared" si="0"/>
        <v>4.7478574849459595E-2</v>
      </c>
      <c r="Z8">
        <f t="shared" si="1"/>
        <v>1.8044430019520569E-2</v>
      </c>
      <c r="AA8">
        <f t="shared" si="2"/>
        <v>6.9390565155850676E-3</v>
      </c>
      <c r="AB8">
        <f t="shared" si="3"/>
        <v>-1.0335149187241097E-3</v>
      </c>
      <c r="AD8">
        <f t="shared" si="4"/>
        <v>-7.4603829102200432E-4</v>
      </c>
      <c r="AE8">
        <f t="shared" si="5"/>
        <v>1.2004208997026922E-2</v>
      </c>
      <c r="AW8">
        <f t="shared" si="6"/>
        <v>3.7141082926331303E-9</v>
      </c>
      <c r="AX8">
        <f t="shared" si="7"/>
        <v>6.4537361949362825E-5</v>
      </c>
      <c r="AZ8">
        <f t="shared" si="8"/>
        <v>6.0001109205979095E-5</v>
      </c>
      <c r="BA8">
        <f t="shared" si="9"/>
        <v>2.5042107685925188E-5</v>
      </c>
    </row>
    <row r="9" spans="1:61" ht="34" x14ac:dyDescent="0.2">
      <c r="A9" s="13">
        <v>44</v>
      </c>
      <c r="B9" t="s">
        <v>204</v>
      </c>
      <c r="C9" s="11" t="s">
        <v>157</v>
      </c>
      <c r="D9">
        <v>7.3499999999999998E-3</v>
      </c>
      <c r="E9" t="s">
        <v>202</v>
      </c>
      <c r="F9">
        <v>96.9</v>
      </c>
      <c r="G9">
        <v>39.4</v>
      </c>
      <c r="H9">
        <v>27780</v>
      </c>
      <c r="I9">
        <v>4200</v>
      </c>
      <c r="J9">
        <v>12571</v>
      </c>
      <c r="K9" s="12">
        <v>8.3709999999999993E-9</v>
      </c>
      <c r="L9">
        <v>20</v>
      </c>
      <c r="M9">
        <v>6</v>
      </c>
      <c r="N9" t="s">
        <v>203</v>
      </c>
      <c r="O9">
        <v>40</v>
      </c>
      <c r="P9">
        <v>0.4</v>
      </c>
      <c r="Q9">
        <v>39.361904838559099</v>
      </c>
      <c r="R9">
        <v>1754</v>
      </c>
      <c r="S9">
        <v>1535</v>
      </c>
      <c r="T9">
        <v>1747</v>
      </c>
      <c r="U9">
        <v>16.6601503759398</v>
      </c>
      <c r="V9">
        <v>1767</v>
      </c>
      <c r="W9">
        <v>3783</v>
      </c>
      <c r="X9">
        <v>2016</v>
      </c>
      <c r="Y9">
        <f t="shared" si="0"/>
        <v>-7.156298842370068E-3</v>
      </c>
      <c r="Z9">
        <f t="shared" si="1"/>
        <v>-1.6850129574268145E-3</v>
      </c>
      <c r="AA9">
        <f t="shared" si="2"/>
        <v>-5.4850565522759692E-3</v>
      </c>
      <c r="AB9">
        <f t="shared" si="3"/>
        <v>-5.7973440960655568E-3</v>
      </c>
      <c r="AD9">
        <f t="shared" si="4"/>
        <v>-2.6573957572973338E-2</v>
      </c>
      <c r="AE9">
        <f t="shared" si="5"/>
        <v>-1.897751170116041E-2</v>
      </c>
      <c r="AW9">
        <f t="shared" si="6"/>
        <v>1.6473867670012228E-4</v>
      </c>
      <c r="AX9">
        <f t="shared" si="7"/>
        <v>1.7285265678034984E-4</v>
      </c>
      <c r="AZ9">
        <f t="shared" si="8"/>
        <v>1.1508348974128952E-3</v>
      </c>
      <c r="BA9">
        <f t="shared" si="9"/>
        <v>6.9313787237473823E-4</v>
      </c>
    </row>
    <row r="10" spans="1:61" ht="34" x14ac:dyDescent="0.2">
      <c r="A10" s="13">
        <v>45</v>
      </c>
      <c r="B10" t="s">
        <v>201</v>
      </c>
      <c r="C10" s="11" t="s">
        <v>154</v>
      </c>
      <c r="D10">
        <v>0</v>
      </c>
      <c r="E10" t="s">
        <v>202</v>
      </c>
      <c r="F10">
        <v>1.8</v>
      </c>
      <c r="G10">
        <v>2.6</v>
      </c>
      <c r="H10">
        <v>27780</v>
      </c>
      <c r="I10">
        <v>4140</v>
      </c>
      <c r="J10">
        <v>6288</v>
      </c>
      <c r="K10" s="12">
        <v>2.1479999999999901E-9</v>
      </c>
      <c r="L10">
        <v>20</v>
      </c>
      <c r="M10">
        <v>6</v>
      </c>
      <c r="N10" t="s">
        <v>203</v>
      </c>
      <c r="O10">
        <v>40</v>
      </c>
      <c r="P10">
        <v>0.4</v>
      </c>
      <c r="Q10">
        <v>2.59173132137157</v>
      </c>
      <c r="R10">
        <v>1682</v>
      </c>
      <c r="S10">
        <v>1467</v>
      </c>
      <c r="T10">
        <v>1658</v>
      </c>
      <c r="U10">
        <v>22.384210526315702</v>
      </c>
      <c r="V10">
        <v>2854</v>
      </c>
      <c r="W10">
        <v>4095</v>
      </c>
      <c r="X10">
        <v>1241</v>
      </c>
      <c r="Y10">
        <f t="shared" si="0"/>
        <v>5.6063020623868295E-2</v>
      </c>
      <c r="Z10">
        <f t="shared" si="1"/>
        <v>6.376344222150835E-3</v>
      </c>
      <c r="AA10">
        <f t="shared" si="2"/>
        <v>8.8911819204640589E-3</v>
      </c>
      <c r="AB10">
        <f t="shared" si="3"/>
        <v>-3.8508660030999132E-3</v>
      </c>
      <c r="AD10">
        <f t="shared" si="4"/>
        <v>-1.5968310202400523E-2</v>
      </c>
      <c r="AE10">
        <f t="shared" si="5"/>
        <v>1.9159215563183674E-3</v>
      </c>
      <c r="AW10">
        <f t="shared" si="6"/>
        <v>7.905311594278695E-5</v>
      </c>
      <c r="AX10">
        <f t="shared" si="7"/>
        <v>1.4829168973830701E-5</v>
      </c>
      <c r="AZ10">
        <f t="shared" si="8"/>
        <v>2.5498693072008863E-4</v>
      </c>
      <c r="BA10">
        <f t="shared" si="9"/>
        <v>3.6707554099653948E-6</v>
      </c>
    </row>
    <row r="11" spans="1:61" ht="34" x14ac:dyDescent="0.2">
      <c r="A11" s="13">
        <v>75</v>
      </c>
      <c r="B11" t="s">
        <v>305</v>
      </c>
      <c r="C11" s="11" t="s">
        <v>284</v>
      </c>
      <c r="D11">
        <v>0.59199999999999997</v>
      </c>
      <c r="E11" t="s">
        <v>282</v>
      </c>
      <c r="F11">
        <v>99.9</v>
      </c>
      <c r="G11">
        <v>53.3</v>
      </c>
      <c r="H11">
        <v>27780</v>
      </c>
      <c r="I11">
        <v>4160</v>
      </c>
      <c r="J11">
        <v>13895</v>
      </c>
      <c r="K11" s="12">
        <v>9.7350000000000008E-9</v>
      </c>
      <c r="L11">
        <v>20</v>
      </c>
      <c r="M11">
        <v>6</v>
      </c>
      <c r="N11" t="s">
        <v>203</v>
      </c>
      <c r="O11">
        <v>40</v>
      </c>
      <c r="P11">
        <v>0.4</v>
      </c>
      <c r="Q11">
        <v>53.234519068002101</v>
      </c>
      <c r="R11">
        <v>3263</v>
      </c>
      <c r="S11">
        <v>2894</v>
      </c>
      <c r="T11">
        <v>3247</v>
      </c>
      <c r="U11">
        <v>1.0075187969924799</v>
      </c>
      <c r="V11">
        <v>2898</v>
      </c>
      <c r="W11">
        <v>3027</v>
      </c>
      <c r="X11">
        <v>129</v>
      </c>
      <c r="Y11">
        <f t="shared" si="0"/>
        <v>0.67911577511369159</v>
      </c>
      <c r="Z11">
        <f t="shared" si="1"/>
        <v>0.66748889228334285</v>
      </c>
      <c r="AA11">
        <f t="shared" si="2"/>
        <v>0.15057500666373294</v>
      </c>
      <c r="AB11">
        <f t="shared" si="3"/>
        <v>0.15577995832581623</v>
      </c>
      <c r="AD11">
        <f t="shared" si="4"/>
        <v>0.60696278990997443</v>
      </c>
      <c r="AE11">
        <f t="shared" si="5"/>
        <v>0.61172417557101655</v>
      </c>
      <c r="AW11">
        <f t="shared" si="6"/>
        <v>0.19485602474192343</v>
      </c>
      <c r="AX11">
        <f t="shared" si="7"/>
        <v>0.19028792475822656</v>
      </c>
      <c r="AZ11">
        <f t="shared" si="8"/>
        <v>2.2388508189003355E-4</v>
      </c>
      <c r="BA11">
        <f t="shared" si="9"/>
        <v>3.8904310195628716E-4</v>
      </c>
    </row>
    <row r="12" spans="1:61" ht="34" x14ac:dyDescent="0.2">
      <c r="A12" s="13">
        <v>76</v>
      </c>
      <c r="B12" t="s">
        <v>306</v>
      </c>
      <c r="C12" s="11" t="s">
        <v>286</v>
      </c>
      <c r="D12">
        <v>0.316</v>
      </c>
      <c r="E12" t="s">
        <v>282</v>
      </c>
      <c r="F12">
        <v>99.9</v>
      </c>
      <c r="G12">
        <v>40.799999999999997</v>
      </c>
      <c r="H12">
        <v>27780</v>
      </c>
      <c r="I12">
        <v>4140</v>
      </c>
      <c r="J12">
        <v>12652</v>
      </c>
      <c r="K12" s="12">
        <v>8.5120000000000004E-9</v>
      </c>
      <c r="L12">
        <v>20</v>
      </c>
      <c r="M12">
        <v>6</v>
      </c>
      <c r="N12" t="s">
        <v>203</v>
      </c>
      <c r="O12">
        <v>40</v>
      </c>
      <c r="P12">
        <v>0.4</v>
      </c>
      <c r="Q12">
        <v>40.699085713089403</v>
      </c>
      <c r="R12">
        <v>2907</v>
      </c>
      <c r="S12">
        <v>2642</v>
      </c>
      <c r="T12">
        <v>2898</v>
      </c>
      <c r="U12">
        <v>2.9977443609022498</v>
      </c>
      <c r="V12">
        <v>2651</v>
      </c>
      <c r="W12">
        <v>3295</v>
      </c>
      <c r="X12">
        <v>644</v>
      </c>
      <c r="Y12">
        <f t="shared" si="0"/>
        <v>0.28021697307442184</v>
      </c>
      <c r="Z12">
        <f t="shared" si="1"/>
        <v>0.28516719184579209</v>
      </c>
      <c r="AA12">
        <f t="shared" si="2"/>
        <v>5.9864376542676422E-2</v>
      </c>
      <c r="AB12">
        <f t="shared" si="3"/>
        <v>6.3465376824286102E-2</v>
      </c>
      <c r="AD12">
        <f t="shared" si="4"/>
        <v>0.3061926317878747</v>
      </c>
      <c r="AE12">
        <f t="shared" si="5"/>
        <v>0.30427846436587436</v>
      </c>
      <c r="AW12">
        <f t="shared" si="6"/>
        <v>6.5605457603871861E-2</v>
      </c>
      <c r="AX12">
        <f t="shared" si="7"/>
        <v>6.3773735902499823E-2</v>
      </c>
      <c r="AZ12">
        <f t="shared" si="8"/>
        <v>9.6184471248205808E-5</v>
      </c>
      <c r="BA12">
        <f t="shared" si="9"/>
        <v>1.3739439762207732E-4</v>
      </c>
    </row>
    <row r="13" spans="1:61" ht="34" x14ac:dyDescent="0.2">
      <c r="A13" s="13">
        <v>77</v>
      </c>
      <c r="B13" t="s">
        <v>307</v>
      </c>
      <c r="C13" s="11" t="s">
        <v>288</v>
      </c>
      <c r="D13">
        <v>0.106</v>
      </c>
      <c r="E13" t="s">
        <v>282</v>
      </c>
      <c r="F13">
        <v>41.9</v>
      </c>
      <c r="G13">
        <v>18.5</v>
      </c>
      <c r="H13">
        <v>27780</v>
      </c>
      <c r="I13">
        <v>4160</v>
      </c>
      <c r="J13">
        <v>9900</v>
      </c>
      <c r="K13" s="12">
        <v>5.7399999999999996E-9</v>
      </c>
      <c r="L13">
        <v>20</v>
      </c>
      <c r="M13">
        <v>6</v>
      </c>
      <c r="N13" t="s">
        <v>203</v>
      </c>
      <c r="O13">
        <v>40</v>
      </c>
      <c r="P13">
        <v>0.4</v>
      </c>
      <c r="Q13">
        <v>18.5073913293432</v>
      </c>
      <c r="R13">
        <v>2374</v>
      </c>
      <c r="S13">
        <v>2178</v>
      </c>
      <c r="T13">
        <v>2350</v>
      </c>
      <c r="U13">
        <v>4.5323308270676597</v>
      </c>
      <c r="V13">
        <v>2251</v>
      </c>
      <c r="W13">
        <v>3487</v>
      </c>
      <c r="X13">
        <v>1236</v>
      </c>
      <c r="Y13">
        <f t="shared" si="0"/>
        <v>9.2175593878720999E-2</v>
      </c>
      <c r="Z13">
        <f t="shared" si="1"/>
        <v>9.9163264915581487E-2</v>
      </c>
      <c r="AA13">
        <f t="shared" si="2"/>
        <v>1.7103275460213559E-2</v>
      </c>
      <c r="AB13">
        <f t="shared" si="3"/>
        <v>1.855326576035158E-2</v>
      </c>
      <c r="AD13">
        <f t="shared" si="4"/>
        <v>0.10088260244432271</v>
      </c>
      <c r="AE13">
        <f t="shared" si="5"/>
        <v>0.10418139336734489</v>
      </c>
      <c r="AW13">
        <f t="shared" si="6"/>
        <v>7.9026276339026671E-3</v>
      </c>
      <c r="AX13">
        <f t="shared" si="7"/>
        <v>7.6469313291796974E-3</v>
      </c>
      <c r="AZ13">
        <f t="shared" si="8"/>
        <v>2.6187757742851919E-5</v>
      </c>
      <c r="BA13">
        <f t="shared" si="9"/>
        <v>3.3073300843371555E-6</v>
      </c>
    </row>
    <row r="14" spans="1:61" ht="34" x14ac:dyDescent="0.2">
      <c r="A14" s="13">
        <v>78</v>
      </c>
      <c r="B14" t="s">
        <v>308</v>
      </c>
      <c r="C14" s="11" t="s">
        <v>290</v>
      </c>
      <c r="D14">
        <v>2.8400000000000002E-2</v>
      </c>
      <c r="E14" t="s">
        <v>282</v>
      </c>
      <c r="F14">
        <v>98.1</v>
      </c>
      <c r="G14">
        <v>39.799999999999997</v>
      </c>
      <c r="H14">
        <v>27780</v>
      </c>
      <c r="I14">
        <v>4180</v>
      </c>
      <c r="J14">
        <v>12589</v>
      </c>
      <c r="K14" s="12">
        <v>8.4089999999999994E-9</v>
      </c>
      <c r="L14">
        <v>20</v>
      </c>
      <c r="M14">
        <v>6</v>
      </c>
      <c r="N14" t="s">
        <v>203</v>
      </c>
      <c r="O14">
        <v>40</v>
      </c>
      <c r="P14">
        <v>0.4</v>
      </c>
      <c r="Q14">
        <v>39.720081246165201</v>
      </c>
      <c r="R14">
        <v>1914</v>
      </c>
      <c r="S14">
        <v>1706</v>
      </c>
      <c r="T14">
        <v>1894</v>
      </c>
      <c r="U14">
        <v>14.9255639097744</v>
      </c>
      <c r="V14">
        <v>1839</v>
      </c>
      <c r="W14">
        <v>3598</v>
      </c>
      <c r="X14">
        <v>1759</v>
      </c>
      <c r="Y14">
        <f t="shared" si="0"/>
        <v>2.5138674941391843E-2</v>
      </c>
      <c r="Z14">
        <f t="shared" si="1"/>
        <v>3.6683484942605434E-2</v>
      </c>
      <c r="AA14">
        <f t="shared" si="2"/>
        <v>1.8589048903047711E-3</v>
      </c>
      <c r="AB14">
        <f t="shared" si="3"/>
        <v>3.4670314871937257E-3</v>
      </c>
      <c r="AD14">
        <f t="shared" si="4"/>
        <v>2.3255425211646363E-2</v>
      </c>
      <c r="AE14">
        <f t="shared" si="5"/>
        <v>1.5342835873385696E-2</v>
      </c>
      <c r="AW14">
        <f t="shared" si="6"/>
        <v>7.0442972962188799E-4</v>
      </c>
      <c r="AX14">
        <f t="shared" si="7"/>
        <v>6.2165291886058917E-4</v>
      </c>
      <c r="AZ14">
        <f t="shared" si="8"/>
        <v>2.6466649752963883E-5</v>
      </c>
      <c r="BA14">
        <f t="shared" si="9"/>
        <v>1.7048953502934352E-4</v>
      </c>
    </row>
    <row r="15" spans="1:61" ht="34" x14ac:dyDescent="0.2">
      <c r="A15" s="13">
        <v>79</v>
      </c>
      <c r="B15" t="s">
        <v>309</v>
      </c>
      <c r="C15" s="11" t="s">
        <v>281</v>
      </c>
      <c r="D15">
        <v>1.7999999999999999E-2</v>
      </c>
      <c r="E15" t="s">
        <v>282</v>
      </c>
      <c r="F15">
        <v>42.8</v>
      </c>
      <c r="G15">
        <v>18.899999999999999</v>
      </c>
      <c r="H15">
        <v>27780</v>
      </c>
      <c r="I15">
        <v>4160</v>
      </c>
      <c r="J15">
        <v>9962</v>
      </c>
      <c r="K15" s="12">
        <v>5.8019999999999996E-9</v>
      </c>
      <c r="L15">
        <v>20</v>
      </c>
      <c r="M15">
        <v>6</v>
      </c>
      <c r="N15" t="s">
        <v>203</v>
      </c>
      <c r="O15">
        <v>40</v>
      </c>
      <c r="P15">
        <v>0.4</v>
      </c>
      <c r="Q15">
        <v>18.909361829921199</v>
      </c>
      <c r="R15">
        <v>1814</v>
      </c>
      <c r="S15">
        <v>1622</v>
      </c>
      <c r="T15">
        <v>1786</v>
      </c>
      <c r="U15">
        <v>17.860150375939799</v>
      </c>
      <c r="V15">
        <v>2095</v>
      </c>
      <c r="W15">
        <v>3527</v>
      </c>
      <c r="X15">
        <v>1432</v>
      </c>
      <c r="Y15">
        <f t="shared" si="0"/>
        <v>6.521426436679037E-2</v>
      </c>
      <c r="Z15">
        <f t="shared" si="1"/>
        <v>4.7677067774441119E-2</v>
      </c>
      <c r="AA15">
        <f t="shared" si="2"/>
        <v>1.0972198664731233E-2</v>
      </c>
      <c r="AB15">
        <f t="shared" si="3"/>
        <v>6.1215185256271835E-3</v>
      </c>
      <c r="AD15">
        <f t="shared" si="4"/>
        <v>3.7230069426217635E-2</v>
      </c>
      <c r="AE15">
        <f t="shared" si="5"/>
        <v>1.6355159248846785E-2</v>
      </c>
      <c r="AW15">
        <f t="shared" si="6"/>
        <v>4.9389991608005449E-5</v>
      </c>
      <c r="AX15">
        <f t="shared" si="7"/>
        <v>1.4109832213701816E-4</v>
      </c>
      <c r="AZ15">
        <f t="shared" si="8"/>
        <v>3.6979557013715029E-4</v>
      </c>
      <c r="BA15">
        <f t="shared" si="9"/>
        <v>2.7055010966542698E-6</v>
      </c>
    </row>
    <row r="16" spans="1:61" ht="34" x14ac:dyDescent="0.2">
      <c r="A16" s="13">
        <v>131</v>
      </c>
      <c r="B16" t="s">
        <v>368</v>
      </c>
      <c r="C16" s="11" t="s">
        <v>344</v>
      </c>
      <c r="D16">
        <v>0.24099999999999999</v>
      </c>
      <c r="E16" t="s">
        <v>345</v>
      </c>
      <c r="F16">
        <v>99.9</v>
      </c>
      <c r="G16">
        <v>40.5</v>
      </c>
      <c r="H16">
        <v>27780</v>
      </c>
      <c r="I16">
        <v>4160</v>
      </c>
      <c r="J16">
        <v>12643</v>
      </c>
      <c r="K16" s="12">
        <v>8.4830000000000006E-9</v>
      </c>
      <c r="L16">
        <v>20</v>
      </c>
      <c r="M16">
        <v>6</v>
      </c>
      <c r="N16" t="s">
        <v>203</v>
      </c>
      <c r="O16">
        <v>40</v>
      </c>
      <c r="P16">
        <v>0.4</v>
      </c>
      <c r="Q16">
        <v>40.422238223329202</v>
      </c>
      <c r="R16">
        <v>2818</v>
      </c>
      <c r="S16">
        <v>2515</v>
      </c>
      <c r="T16">
        <v>2794</v>
      </c>
      <c r="U16">
        <v>4.3714285714285701</v>
      </c>
      <c r="V16">
        <v>2531</v>
      </c>
      <c r="W16">
        <v>3391</v>
      </c>
      <c r="X16">
        <v>860</v>
      </c>
      <c r="Y16">
        <f t="shared" si="0"/>
        <v>0.21710415581425807</v>
      </c>
      <c r="Z16">
        <f t="shared" si="1"/>
        <v>0.22784833875083899</v>
      </c>
      <c r="AA16">
        <f t="shared" si="2"/>
        <v>4.5512356949945355E-2</v>
      </c>
      <c r="AB16">
        <f t="shared" si="3"/>
        <v>4.9625288936121392E-2</v>
      </c>
      <c r="AD16">
        <f t="shared" si="4"/>
        <v>0.2470399436415387</v>
      </c>
      <c r="AE16">
        <f t="shared" si="5"/>
        <v>0.25154569762687373</v>
      </c>
      <c r="AW16">
        <f t="shared" si="6"/>
        <v>3.821541858526558E-2</v>
      </c>
      <c r="AX16">
        <f t="shared" si="7"/>
        <v>3.6624280034783019E-2</v>
      </c>
      <c r="AZ16">
        <f t="shared" si="8"/>
        <v>3.6480919192963813E-5</v>
      </c>
      <c r="BA16">
        <f t="shared" si="9"/>
        <v>1.1121173843745043E-4</v>
      </c>
    </row>
    <row r="17" spans="1:53" ht="34" x14ac:dyDescent="0.2">
      <c r="A17" s="13">
        <v>132</v>
      </c>
      <c r="B17" t="s">
        <v>369</v>
      </c>
      <c r="C17" s="11" t="s">
        <v>347</v>
      </c>
      <c r="D17">
        <v>0.28199999999999997</v>
      </c>
      <c r="E17" t="s">
        <v>345</v>
      </c>
      <c r="F17">
        <v>99.9</v>
      </c>
      <c r="G17">
        <v>40.9</v>
      </c>
      <c r="H17">
        <v>27780</v>
      </c>
      <c r="I17">
        <v>4160</v>
      </c>
      <c r="J17">
        <v>12687</v>
      </c>
      <c r="K17" s="12">
        <v>8.5269999999999992E-9</v>
      </c>
      <c r="L17">
        <v>20</v>
      </c>
      <c r="M17">
        <v>6</v>
      </c>
      <c r="N17" t="s">
        <v>203</v>
      </c>
      <c r="O17">
        <v>40</v>
      </c>
      <c r="P17">
        <v>0.4</v>
      </c>
      <c r="Q17">
        <v>40.8426534270628</v>
      </c>
      <c r="R17">
        <v>2898</v>
      </c>
      <c r="S17">
        <v>2582</v>
      </c>
      <c r="T17">
        <v>2879</v>
      </c>
      <c r="U17">
        <v>3.71804511278195</v>
      </c>
      <c r="V17">
        <v>2595</v>
      </c>
      <c r="W17">
        <v>3339</v>
      </c>
      <c r="X17">
        <v>744</v>
      </c>
      <c r="Y17">
        <f t="shared" si="0"/>
        <v>0.24980021669766814</v>
      </c>
      <c r="Z17">
        <f>AB17*$AO$2+$AP$2</f>
        <v>0.25917507161684272</v>
      </c>
      <c r="AA17">
        <f t="shared" si="2"/>
        <v>5.2947526647242615E-2</v>
      </c>
      <c r="AB17">
        <f t="shared" si="3"/>
        <v>5.7189374968971987E-2</v>
      </c>
      <c r="AD17">
        <f t="shared" si="4"/>
        <v>0.2798232445724439</v>
      </c>
      <c r="AE17">
        <f t="shared" si="5"/>
        <v>0.28223585439784926</v>
      </c>
      <c r="AW17">
        <f t="shared" si="6"/>
        <v>5.2465035549015618E-2</v>
      </c>
      <c r="AX17">
        <f t="shared" si="7"/>
        <v>5.0539817126841476E-2</v>
      </c>
      <c r="AZ17">
        <f t="shared" si="8"/>
        <v>4.738264191394837E-6</v>
      </c>
      <c r="BA17">
        <f t="shared" si="9"/>
        <v>5.5627296984850628E-8</v>
      </c>
    </row>
    <row r="18" spans="1:53" ht="34" x14ac:dyDescent="0.2">
      <c r="A18" s="13">
        <v>133</v>
      </c>
      <c r="B18" t="s">
        <v>370</v>
      </c>
      <c r="C18" s="11" t="s">
        <v>349</v>
      </c>
      <c r="D18">
        <v>0.25800000000000001</v>
      </c>
      <c r="E18" t="s">
        <v>345</v>
      </c>
      <c r="F18">
        <v>98.7</v>
      </c>
      <c r="G18">
        <v>40</v>
      </c>
      <c r="H18">
        <v>27780</v>
      </c>
      <c r="I18">
        <v>4160</v>
      </c>
      <c r="J18">
        <v>12588</v>
      </c>
      <c r="K18" s="12">
        <v>8.4279999999999994E-9</v>
      </c>
      <c r="L18">
        <v>20</v>
      </c>
      <c r="M18">
        <v>6</v>
      </c>
      <c r="N18" t="s">
        <v>203</v>
      </c>
      <c r="O18">
        <v>40</v>
      </c>
      <c r="P18">
        <v>0.4</v>
      </c>
      <c r="Q18">
        <v>39.899777794879803</v>
      </c>
      <c r="R18">
        <v>2863</v>
      </c>
      <c r="S18">
        <v>2559</v>
      </c>
      <c r="T18">
        <v>2842</v>
      </c>
      <c r="U18">
        <v>3.8781954887218002</v>
      </c>
      <c r="V18">
        <v>2571</v>
      </c>
      <c r="W18">
        <v>3383</v>
      </c>
      <c r="X18">
        <v>812</v>
      </c>
      <c r="Y18">
        <f t="shared" si="0"/>
        <v>0.2292745367086759</v>
      </c>
      <c r="Z18">
        <f t="shared" si="1"/>
        <v>0.23922884264350114</v>
      </c>
      <c r="AA18">
        <f t="shared" si="2"/>
        <v>4.827993337309347E-2</v>
      </c>
      <c r="AB18">
        <f t="shared" si="3"/>
        <v>5.2373201107795905E-2</v>
      </c>
      <c r="AD18">
        <f t="shared" si="4"/>
        <v>0.25907625029923087</v>
      </c>
      <c r="AE18">
        <f t="shared" si="5"/>
        <v>0.26476088674649767</v>
      </c>
      <c r="AW18">
        <f t="shared" si="6"/>
        <v>4.398250634599412E-2</v>
      </c>
      <c r="AX18">
        <f t="shared" si="7"/>
        <v>4.2282380422654947E-2</v>
      </c>
      <c r="AZ18">
        <f t="shared" si="8"/>
        <v>1.1583147065945224E-6</v>
      </c>
      <c r="BA18">
        <f t="shared" si="9"/>
        <v>4.5709589598967751E-5</v>
      </c>
    </row>
    <row r="19" spans="1:53" ht="34" x14ac:dyDescent="0.2">
      <c r="A19" s="13">
        <v>134</v>
      </c>
      <c r="B19" t="s">
        <v>371</v>
      </c>
      <c r="C19" s="11" t="s">
        <v>351</v>
      </c>
      <c r="D19">
        <v>0.15670000000000001</v>
      </c>
      <c r="E19" t="s">
        <v>345</v>
      </c>
      <c r="F19">
        <v>99.9</v>
      </c>
      <c r="G19">
        <v>40.4</v>
      </c>
      <c r="H19">
        <v>27780</v>
      </c>
      <c r="I19">
        <v>4100</v>
      </c>
      <c r="J19">
        <v>12576</v>
      </c>
      <c r="K19" s="12">
        <v>8.4759999999999993E-9</v>
      </c>
      <c r="L19">
        <v>20</v>
      </c>
      <c r="M19">
        <v>6</v>
      </c>
      <c r="N19" t="s">
        <v>203</v>
      </c>
      <c r="O19">
        <v>40</v>
      </c>
      <c r="P19">
        <v>0.4</v>
      </c>
      <c r="Q19">
        <v>40.355554521120801</v>
      </c>
      <c r="R19">
        <v>2450</v>
      </c>
      <c r="S19">
        <v>2295</v>
      </c>
      <c r="T19">
        <v>2431</v>
      </c>
      <c r="U19">
        <v>6.6639097744360898</v>
      </c>
      <c r="V19">
        <v>2327</v>
      </c>
      <c r="W19">
        <v>3419</v>
      </c>
      <c r="X19">
        <v>1092</v>
      </c>
      <c r="Y19">
        <f t="shared" si="0"/>
        <v>0.15712492809581796</v>
      </c>
      <c r="Z19">
        <f t="shared" si="1"/>
        <v>0.16294044245804107</v>
      </c>
      <c r="AA19">
        <f t="shared" si="2"/>
        <v>3.1872923808758773E-2</v>
      </c>
      <c r="AB19">
        <f t="shared" si="3"/>
        <v>3.3952766880593718E-2</v>
      </c>
      <c r="AD19">
        <f t="shared" si="4"/>
        <v>0.17562888603791146</v>
      </c>
      <c r="AE19">
        <f t="shared" si="5"/>
        <v>0.16624988585993927</v>
      </c>
      <c r="AW19">
        <f t="shared" si="6"/>
        <v>1.5581798950453942E-2</v>
      </c>
      <c r="AX19">
        <f t="shared" si="7"/>
        <v>1.5066883238469872E-2</v>
      </c>
      <c r="AZ19">
        <f t="shared" si="8"/>
        <v>3.5830272663623931E-4</v>
      </c>
      <c r="BA19">
        <f t="shared" si="9"/>
        <v>9.1200319937867941E-5</v>
      </c>
    </row>
    <row r="22" spans="1:53" x14ac:dyDescent="0.2">
      <c r="AD22" t="s">
        <v>37</v>
      </c>
      <c r="AE22" s="14" t="s">
        <v>37</v>
      </c>
    </row>
    <row r="23" spans="1:53" x14ac:dyDescent="0.2">
      <c r="AD23">
        <f>RSQ(D2:D19,AD2:AD19)</f>
        <v>0.99093250593982962</v>
      </c>
      <c r="AE23" s="14">
        <f>RSQ(D2:D19,AE2:AE19)</f>
        <v>0.99342293890543287</v>
      </c>
    </row>
    <row r="24" spans="1:53" x14ac:dyDescent="0.2">
      <c r="AE24" s="14"/>
    </row>
    <row r="25" spans="1:53" x14ac:dyDescent="0.2">
      <c r="AD25" t="s">
        <v>403</v>
      </c>
      <c r="AE25" s="14" t="s">
        <v>403</v>
      </c>
    </row>
    <row r="26" spans="1:53" x14ac:dyDescent="0.2">
      <c r="AD26">
        <f>AVERAGE(AZ2:AZ19)^0.5</f>
        <v>1.675546569168793E-2</v>
      </c>
      <c r="AE26" s="14">
        <f>AVERAGE(BA2:BA19)^0.5</f>
        <v>1.4281091228256354E-2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5D2C-596D-B245-A905-9E62E309C9A3}">
  <dimension ref="A1:BI26"/>
  <sheetViews>
    <sheetView topLeftCell="X9" zoomScaleNormal="100" workbookViewId="0">
      <selection activeCell="BB2" sqref="BB2:BI2"/>
    </sheetView>
  </sheetViews>
  <sheetFormatPr baseColWidth="10" defaultRowHeight="16" x14ac:dyDescent="0.2"/>
  <cols>
    <col min="27" max="27" width="12.6640625" customWidth="1"/>
    <col min="28" max="28" width="14.1640625" customWidth="1"/>
    <col min="31" max="31" width="12.5" bestFit="1" customWidth="1"/>
    <col min="35" max="35" width="12.6640625" customWidth="1"/>
    <col min="52" max="52" width="11.1640625" bestFit="1" customWidth="1"/>
    <col min="53" max="53" width="12.5" bestFit="1" customWidth="1"/>
  </cols>
  <sheetData>
    <row r="1" spans="1:61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E1" t="s">
        <v>400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  <c r="BA1" t="s">
        <v>402</v>
      </c>
      <c r="BB1" t="s">
        <v>148</v>
      </c>
      <c r="BC1" t="s">
        <v>21</v>
      </c>
      <c r="BD1" t="s">
        <v>24</v>
      </c>
      <c r="BE1" t="s">
        <v>25</v>
      </c>
      <c r="BF1" t="s">
        <v>27</v>
      </c>
      <c r="BG1" t="s">
        <v>150</v>
      </c>
      <c r="BH1" t="s">
        <v>386</v>
      </c>
      <c r="BI1" t="s">
        <v>401</v>
      </c>
    </row>
    <row r="2" spans="1:61" ht="51" x14ac:dyDescent="0.2">
      <c r="A2" s="13">
        <v>46</v>
      </c>
      <c r="B2" t="s">
        <v>235</v>
      </c>
      <c r="C2" s="11" t="s">
        <v>279</v>
      </c>
      <c r="D2">
        <v>0.42399999999999999</v>
      </c>
      <c r="E2" t="s">
        <v>216</v>
      </c>
      <c r="F2">
        <v>-1</v>
      </c>
      <c r="G2">
        <v>79.900000000000006</v>
      </c>
      <c r="H2">
        <v>22500</v>
      </c>
      <c r="I2">
        <v>6480</v>
      </c>
      <c r="J2">
        <v>18730</v>
      </c>
      <c r="K2" s="12">
        <v>1.2250000000000001E-8</v>
      </c>
      <c r="L2">
        <v>20</v>
      </c>
      <c r="M2">
        <v>5</v>
      </c>
      <c r="N2" t="s">
        <v>69</v>
      </c>
      <c r="O2">
        <v>40</v>
      </c>
      <c r="P2">
        <v>0.4</v>
      </c>
      <c r="Q2">
        <v>84.293405630745994</v>
      </c>
      <c r="R2">
        <v>3830</v>
      </c>
      <c r="S2">
        <v>2074</v>
      </c>
      <c r="T2">
        <v>3826</v>
      </c>
      <c r="U2">
        <v>0.66917293233082698</v>
      </c>
      <c r="V2">
        <v>2095</v>
      </c>
      <c r="W2">
        <v>2162</v>
      </c>
      <c r="X2">
        <v>67</v>
      </c>
      <c r="Y2">
        <f>AA2*$AM$2+$AN$2</f>
        <v>0.35831376804911941</v>
      </c>
      <c r="Z2">
        <f>AB2*$AO$2+$AP$2</f>
        <v>0.35344662570858465</v>
      </c>
      <c r="AA2">
        <f>((Q2^0.5)/(120*3.1415*P2))*LN($AI$2*V2/X2)</f>
        <v>0.20960764018208852</v>
      </c>
      <c r="AB2">
        <f>((Q2^0.5)/(120*3.14*P2))*LN((V2*($AJ$2*R2-V2))/(R2*X2))</f>
        <v>0.2324676628838368</v>
      </c>
      <c r="AC2">
        <f>$AS$2*AA2^2+$AT$2*AA2+$AU$2</f>
        <v>0.16707132690150789</v>
      </c>
      <c r="AD2">
        <f>$AS$3*AB2^2+$AT$3*AB2+$AU$3</f>
        <v>0.41119870355508154</v>
      </c>
      <c r="AE2">
        <f>$BB$2*Q2+$BC$2*R2+$BD$2*V2+$BE$2*W2+$BF$2*X2+$BG$2*U2+$BH$2*AD2+$BI$2</f>
        <v>0.41843806989922383</v>
      </c>
      <c r="AH2" t="s">
        <v>376</v>
      </c>
      <c r="AI2">
        <v>1</v>
      </c>
      <c r="AJ2">
        <v>2</v>
      </c>
      <c r="AK2">
        <f>RSQ(AA2:AA115,D2:D115)</f>
        <v>0.91486646364767765</v>
      </c>
      <c r="AL2">
        <f>RSQ(AB2:AB115,D2:D115)</f>
        <v>0.90270916986002392</v>
      </c>
      <c r="AM2">
        <f>SLOPE(D2:D19,AA2:AA19)</f>
        <v>1.8707632874126932</v>
      </c>
      <c r="AN2">
        <f>INTERCEPT(D2:D19,AA2:AA19)</f>
        <v>-3.3812509964741444E-2</v>
      </c>
      <c r="AO2">
        <f>SLOPE(D2:D19,AB2:AB19)</f>
        <v>1.6778516523068778</v>
      </c>
      <c r="AP2">
        <f>INTERCEPT(D2:D19,AB2:AB19)</f>
        <v>-3.6599626568979221E-2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4.5964083948292822E-2</v>
      </c>
      <c r="AX2">
        <f>(AB2-D2)^2</f>
        <v>3.6684636161179583E-2</v>
      </c>
      <c r="AZ2">
        <f>(AD2-D2)^2</f>
        <v>1.6387319067068183E-4</v>
      </c>
      <c r="BA2">
        <f>(D2-AE2)^2</f>
        <v>3.093506644591988E-5</v>
      </c>
      <c r="BB2">
        <v>6.9800000000000005E-4</v>
      </c>
      <c r="BC2">
        <v>-2.5000000000000001E-5</v>
      </c>
      <c r="BD2">
        <v>3.8999999999999999E-5</v>
      </c>
      <c r="BE2">
        <v>1.12E-4</v>
      </c>
      <c r="BF2">
        <v>7.2999999999999999E-5</v>
      </c>
      <c r="BG2">
        <v>-1.3029000000000001E-2</v>
      </c>
      <c r="BH2">
        <v>1.1547700000000001</v>
      </c>
      <c r="BI2">
        <v>-0.33950999999999998</v>
      </c>
    </row>
    <row r="3" spans="1:61" ht="34" x14ac:dyDescent="0.2">
      <c r="A3" s="13">
        <v>47</v>
      </c>
      <c r="B3" t="s">
        <v>220</v>
      </c>
      <c r="C3" s="11" t="s">
        <v>177</v>
      </c>
      <c r="D3">
        <v>5.11E-2</v>
      </c>
      <c r="E3" t="s">
        <v>216</v>
      </c>
      <c r="F3">
        <v>99.7</v>
      </c>
      <c r="G3">
        <v>79.900000000000006</v>
      </c>
      <c r="H3">
        <v>22500</v>
      </c>
      <c r="I3">
        <v>6480</v>
      </c>
      <c r="J3">
        <v>18395</v>
      </c>
      <c r="K3" s="12">
        <v>1.1914999999999999E-8</v>
      </c>
      <c r="L3">
        <v>20</v>
      </c>
      <c r="M3">
        <v>5</v>
      </c>
      <c r="N3" t="s">
        <v>69</v>
      </c>
      <c r="O3">
        <v>40</v>
      </c>
      <c r="P3">
        <v>0.4</v>
      </c>
      <c r="Q3">
        <v>79.746111674778106</v>
      </c>
      <c r="R3">
        <v>3171</v>
      </c>
      <c r="S3">
        <v>2190</v>
      </c>
      <c r="T3">
        <v>3158</v>
      </c>
      <c r="U3">
        <v>8.9947368421052598</v>
      </c>
      <c r="V3">
        <v>2214</v>
      </c>
      <c r="W3">
        <v>3055</v>
      </c>
      <c r="X3">
        <v>841</v>
      </c>
      <c r="Y3">
        <f t="shared" ref="Y3:Y18" si="0">AA3*$AM$2+$AN$2</f>
        <v>7.3426971248008441E-2</v>
      </c>
      <c r="Z3">
        <f t="shared" ref="Z3:Z18" si="1">AB3*$AO$2+$AP$2</f>
        <v>8.5846787629667701E-2</v>
      </c>
      <c r="AA3">
        <f t="shared" ref="AA3:AA18" si="2">((Q3^0.5)/(120*3.1415*P3))*LN($AI$2*V3/X3)</f>
        <v>5.7323917961349592E-2</v>
      </c>
      <c r="AB3">
        <f t="shared" ref="AB3:AB18" si="3">((Q3^0.5)/(120*3.14*P3))*LN((V3*($AJ$2*R3-V3))/(R3*X3))</f>
        <v>7.2978093164729654E-2</v>
      </c>
      <c r="AD3">
        <f t="shared" ref="AD3:AD18" si="4">$AS$3*AB3^2+$AT$3*AB3+$AU$3</f>
        <v>3.4693754462720015E-2</v>
      </c>
      <c r="AE3">
        <f t="shared" ref="AE3:AE18" si="5">$BB$2*Q3+$BC$2*R3+$BD$2*V3+$BE$2*W3+$BF$2*X3+$BG$2*U3+$BH$2*AD3+$BI$2</f>
        <v>4.9647666474120888E-2</v>
      </c>
      <c r="AI3" t="s">
        <v>398</v>
      </c>
      <c r="AJ3" t="s">
        <v>397</v>
      </c>
      <c r="AL3" t="s">
        <v>399</v>
      </c>
      <c r="AR3" t="s">
        <v>227</v>
      </c>
      <c r="AS3">
        <v>8.8467000000000002</v>
      </c>
      <c r="AT3">
        <v>-0.34150000000000003</v>
      </c>
      <c r="AU3">
        <v>1.2500000000000001E-2</v>
      </c>
      <c r="AW3">
        <f t="shared" ref="AW3:AW18" si="6">(AA3-D3)^2</f>
        <v>3.873715478961007E-5</v>
      </c>
      <c r="AX3">
        <f t="shared" ref="AX3:AX18" si="7">(AB3-D3)^2</f>
        <v>4.7865096052459043E-4</v>
      </c>
      <c r="AZ3">
        <f t="shared" ref="AZ3:AZ18" si="8">(AD3-D3)^2</f>
        <v>2.6916489262951941E-4</v>
      </c>
      <c r="BA3">
        <f t="shared" ref="BA3:BA18" si="9">(D3-AE3)^2</f>
        <v>2.1092726703924507E-6</v>
      </c>
    </row>
    <row r="4" spans="1:61" ht="34" x14ac:dyDescent="0.2">
      <c r="A4" s="13">
        <v>48</v>
      </c>
      <c r="B4" t="s">
        <v>236</v>
      </c>
      <c r="C4" s="11" t="s">
        <v>184</v>
      </c>
      <c r="D4">
        <v>0.437</v>
      </c>
      <c r="E4" t="s">
        <v>216</v>
      </c>
      <c r="F4">
        <v>-1</v>
      </c>
      <c r="G4">
        <v>80.900000000000006</v>
      </c>
      <c r="H4">
        <v>22500</v>
      </c>
      <c r="I4">
        <v>6460</v>
      </c>
      <c r="J4">
        <v>18452</v>
      </c>
      <c r="K4" s="12">
        <v>1.1992000000000001E-8</v>
      </c>
      <c r="L4">
        <v>20</v>
      </c>
      <c r="M4">
        <v>5</v>
      </c>
      <c r="N4" t="s">
        <v>69</v>
      </c>
      <c r="O4">
        <v>40</v>
      </c>
      <c r="P4">
        <v>0.4</v>
      </c>
      <c r="Q4">
        <v>80.780151415072297</v>
      </c>
      <c r="R4">
        <v>3834</v>
      </c>
      <c r="S4">
        <v>2067</v>
      </c>
      <c r="T4">
        <v>3806</v>
      </c>
      <c r="U4">
        <v>0.78270676691729302</v>
      </c>
      <c r="V4">
        <v>2099</v>
      </c>
      <c r="W4">
        <v>2158</v>
      </c>
      <c r="X4">
        <v>59</v>
      </c>
      <c r="Y4">
        <f t="shared" si="0"/>
        <v>0.36444619188578936</v>
      </c>
      <c r="Z4">
        <f t="shared" si="1"/>
        <v>0.35811247630254772</v>
      </c>
      <c r="AA4">
        <f t="shared" si="2"/>
        <v>0.21288567320632604</v>
      </c>
      <c r="AB4">
        <f t="shared" si="3"/>
        <v>0.23524851099251676</v>
      </c>
      <c r="AD4">
        <f t="shared" si="4"/>
        <v>0.42175548338084273</v>
      </c>
      <c r="AE4">
        <f t="shared" si="5"/>
        <v>0.42572123876525081</v>
      </c>
      <c r="AI4">
        <f>(AVERAGE(AW2:AW19))^0.5</f>
        <v>9.8189270437119919E-2</v>
      </c>
      <c r="AJ4">
        <f>(AVERAGE(AX2:AX19))^0.5</f>
        <v>8.6264492725934644E-2</v>
      </c>
      <c r="AL4">
        <f>(AVERAGE(AZ2:AZ19))^0.5</f>
        <v>1.2134081713443814E-2</v>
      </c>
      <c r="AW4">
        <f>(AA4-D4)^2</f>
        <v>5.0227231474181684E-2</v>
      </c>
      <c r="AX4">
        <f t="shared" si="7"/>
        <v>4.0703663316736631E-2</v>
      </c>
      <c r="AZ4">
        <f t="shared" si="8"/>
        <v>2.3239528695176209E-4</v>
      </c>
      <c r="BA4">
        <f t="shared" si="9"/>
        <v>1.2721045499048108E-4</v>
      </c>
    </row>
    <row r="5" spans="1:61" ht="34" x14ac:dyDescent="0.2">
      <c r="A5" s="13">
        <v>49</v>
      </c>
      <c r="B5" t="s">
        <v>237</v>
      </c>
      <c r="C5" s="11" t="s">
        <v>165</v>
      </c>
      <c r="D5">
        <v>0.1552</v>
      </c>
      <c r="E5" t="s">
        <v>216</v>
      </c>
      <c r="F5">
        <v>-1</v>
      </c>
      <c r="G5">
        <v>80.900000000000006</v>
      </c>
      <c r="H5">
        <v>22500</v>
      </c>
      <c r="I5">
        <v>6480</v>
      </c>
      <c r="J5">
        <v>18380</v>
      </c>
      <c r="K5" s="12">
        <v>1.1900000000000001E-8</v>
      </c>
      <c r="L5">
        <v>20</v>
      </c>
      <c r="M5">
        <v>5</v>
      </c>
      <c r="N5" t="s">
        <v>69</v>
      </c>
      <c r="O5">
        <v>40</v>
      </c>
      <c r="P5">
        <v>0.4</v>
      </c>
      <c r="Q5">
        <v>79.5454505380754</v>
      </c>
      <c r="R5">
        <v>3627</v>
      </c>
      <c r="S5">
        <v>2202</v>
      </c>
      <c r="T5">
        <v>3619</v>
      </c>
      <c r="U5">
        <v>2.06541353383458</v>
      </c>
      <c r="V5">
        <v>2206</v>
      </c>
      <c r="W5">
        <v>2411</v>
      </c>
      <c r="X5">
        <v>205</v>
      </c>
      <c r="Y5">
        <f t="shared" si="0"/>
        <v>0.2290817843402142</v>
      </c>
      <c r="Z5">
        <f t="shared" si="1"/>
        <v>0.23212061570145634</v>
      </c>
      <c r="AA5">
        <f t="shared" si="2"/>
        <v>0.14052782416344306</v>
      </c>
      <c r="AB5">
        <f>((Q5^0.5)/(120*3.14*P5))*LN((V5*($AJ$2*R5-V5))/(R5*X5))</f>
        <v>0.16015733089452347</v>
      </c>
      <c r="AD5">
        <f>$AS$3*AB5^2+$AT$3*AB5+$AU$3</f>
        <v>0.18472740543384294</v>
      </c>
      <c r="AE5">
        <f t="shared" si="5"/>
        <v>0.1827761175160848</v>
      </c>
      <c r="AW5">
        <f t="shared" si="6"/>
        <v>2.1527274377884547E-4</v>
      </c>
      <c r="AX5">
        <f t="shared" si="7"/>
        <v>2.457512959779682E-5</v>
      </c>
      <c r="AZ5">
        <f>(AD5-D5)^2</f>
        <v>8.7186767165453756E-4</v>
      </c>
      <c r="BA5">
        <f t="shared" si="9"/>
        <v>7.6044225726091879E-4</v>
      </c>
    </row>
    <row r="6" spans="1:61" ht="34" x14ac:dyDescent="0.2">
      <c r="A6" s="13">
        <v>50</v>
      </c>
      <c r="B6" t="s">
        <v>238</v>
      </c>
      <c r="C6" s="11" t="s">
        <v>167</v>
      </c>
      <c r="D6">
        <v>0.41399999999999998</v>
      </c>
      <c r="E6" t="s">
        <v>216</v>
      </c>
      <c r="F6">
        <v>-1</v>
      </c>
      <c r="G6">
        <v>80.900000000000006</v>
      </c>
      <c r="H6">
        <v>22500</v>
      </c>
      <c r="I6">
        <v>6480</v>
      </c>
      <c r="J6">
        <v>18488</v>
      </c>
      <c r="K6" s="12">
        <v>1.2008000000000001E-8</v>
      </c>
      <c r="L6">
        <v>20</v>
      </c>
      <c r="M6">
        <v>5</v>
      </c>
      <c r="N6" t="s">
        <v>69</v>
      </c>
      <c r="O6">
        <v>40</v>
      </c>
      <c r="P6">
        <v>0.4</v>
      </c>
      <c r="Q6">
        <v>80.995852657969095</v>
      </c>
      <c r="R6">
        <v>3831</v>
      </c>
      <c r="S6">
        <v>2078</v>
      </c>
      <c r="T6">
        <v>3822</v>
      </c>
      <c r="U6">
        <v>0.66691729323308202</v>
      </c>
      <c r="V6">
        <v>2102</v>
      </c>
      <c r="W6">
        <v>2162</v>
      </c>
      <c r="X6">
        <v>60</v>
      </c>
      <c r="Y6">
        <f t="shared" si="0"/>
        <v>0.3632604528407824</v>
      </c>
      <c r="Z6">
        <f t="shared" si="1"/>
        <v>0.35701471778362193</v>
      </c>
      <c r="AA6">
        <f t="shared" si="2"/>
        <v>0.21225184686764112</v>
      </c>
      <c r="AB6">
        <f t="shared" si="3"/>
        <v>0.23459424664357001</v>
      </c>
      <c r="AD6">
        <f t="shared" si="4"/>
        <v>0.4192594269920164</v>
      </c>
      <c r="AE6">
        <f t="shared" si="5"/>
        <v>0.42521104824929945</v>
      </c>
      <c r="AW6">
        <f t="shared" si="6"/>
        <v>4.070231729231772E-2</v>
      </c>
      <c r="AX6">
        <f t="shared" si="7"/>
        <v>3.2186424337388185E-2</v>
      </c>
      <c r="AZ6">
        <f t="shared" si="8"/>
        <v>2.7661572284350939E-5</v>
      </c>
      <c r="BA6">
        <f t="shared" si="9"/>
        <v>1.2568760284812074E-4</v>
      </c>
    </row>
    <row r="7" spans="1:61" ht="34" x14ac:dyDescent="0.2">
      <c r="A7" s="13">
        <v>51</v>
      </c>
      <c r="B7" t="s">
        <v>217</v>
      </c>
      <c r="C7" s="11" t="s">
        <v>157</v>
      </c>
      <c r="D7">
        <v>7.3499999999999998E-3</v>
      </c>
      <c r="E7" t="s">
        <v>216</v>
      </c>
      <c r="F7">
        <v>99.1</v>
      </c>
      <c r="G7">
        <v>79.3</v>
      </c>
      <c r="H7">
        <v>22500</v>
      </c>
      <c r="I7">
        <v>6500</v>
      </c>
      <c r="J7">
        <v>18374</v>
      </c>
      <c r="K7" s="12">
        <v>1.1873999999999999E-8</v>
      </c>
      <c r="L7">
        <v>20</v>
      </c>
      <c r="M7">
        <v>5</v>
      </c>
      <c r="N7" t="s">
        <v>69</v>
      </c>
      <c r="O7">
        <v>40</v>
      </c>
      <c r="P7">
        <v>0.4</v>
      </c>
      <c r="Q7">
        <v>79.198236696761995</v>
      </c>
      <c r="R7">
        <v>2139</v>
      </c>
      <c r="S7">
        <v>1550</v>
      </c>
      <c r="T7">
        <v>2138</v>
      </c>
      <c r="U7">
        <v>18.151127819548801</v>
      </c>
      <c r="V7">
        <v>1622</v>
      </c>
      <c r="W7">
        <v>3355</v>
      </c>
      <c r="X7">
        <v>1733</v>
      </c>
      <c r="Y7">
        <f t="shared" si="0"/>
        <v>-4.1120825338073937E-2</v>
      </c>
      <c r="Z7">
        <f t="shared" si="1"/>
        <v>-2.1710579845646765E-2</v>
      </c>
      <c r="AA7">
        <f t="shared" si="2"/>
        <v>-3.9065954642717275E-3</v>
      </c>
      <c r="AB7">
        <f t="shared" si="3"/>
        <v>8.8738755317620058E-3</v>
      </c>
      <c r="AD7">
        <f t="shared" si="4"/>
        <v>1.016621079773819E-2</v>
      </c>
      <c r="AE7">
        <f t="shared" si="5"/>
        <v>3.070960096342612E-3</v>
      </c>
      <c r="AW7">
        <f t="shared" si="6"/>
        <v>1.2671094144626281E-4</v>
      </c>
      <c r="AX7">
        <f t="shared" si="7"/>
        <v>2.3221966363029367E-6</v>
      </c>
      <c r="AZ7">
        <f t="shared" si="8"/>
        <v>7.9310432572971727E-6</v>
      </c>
      <c r="BA7">
        <f t="shared" si="9"/>
        <v>1.8310182497092226E-5</v>
      </c>
    </row>
    <row r="8" spans="1:61" ht="34" x14ac:dyDescent="0.2">
      <c r="A8" s="13">
        <v>52</v>
      </c>
      <c r="B8" t="s">
        <v>221</v>
      </c>
      <c r="C8" s="11" t="s">
        <v>163</v>
      </c>
      <c r="D8">
        <v>7.9600000000000004E-2</v>
      </c>
      <c r="E8" t="s">
        <v>216</v>
      </c>
      <c r="F8">
        <v>100</v>
      </c>
      <c r="G8">
        <v>80.900000000000006</v>
      </c>
      <c r="H8">
        <v>22500</v>
      </c>
      <c r="I8">
        <v>6460</v>
      </c>
      <c r="J8">
        <v>18454</v>
      </c>
      <c r="K8" s="12">
        <v>1.1994E-8</v>
      </c>
      <c r="L8">
        <v>20</v>
      </c>
      <c r="M8">
        <v>5</v>
      </c>
      <c r="N8" t="s">
        <v>69</v>
      </c>
      <c r="O8">
        <v>40</v>
      </c>
      <c r="P8">
        <v>0.4</v>
      </c>
      <c r="Q8">
        <v>80.807098342218794</v>
      </c>
      <c r="R8">
        <v>3355</v>
      </c>
      <c r="S8">
        <v>2210</v>
      </c>
      <c r="T8">
        <v>3343</v>
      </c>
      <c r="U8">
        <v>6.3097744360902199</v>
      </c>
      <c r="V8">
        <v>2226</v>
      </c>
      <c r="W8">
        <v>2762</v>
      </c>
      <c r="X8">
        <v>536</v>
      </c>
      <c r="Y8">
        <f t="shared" si="0"/>
        <v>0.12497730056916703</v>
      </c>
      <c r="Z8">
        <f t="shared" si="1"/>
        <v>0.13491085073159179</v>
      </c>
      <c r="AA8">
        <f t="shared" si="2"/>
        <v>8.4879691408482935E-2</v>
      </c>
      <c r="AB8">
        <f t="shared" si="3"/>
        <v>0.10222028691556927</v>
      </c>
      <c r="AD8">
        <f t="shared" si="4"/>
        <v>7.0030825816391182E-2</v>
      </c>
      <c r="AE8">
        <f t="shared" si="5"/>
        <v>6.696380024304327E-2</v>
      </c>
      <c r="AW8">
        <f t="shared" si="6"/>
        <v>2.7875141368808478E-5</v>
      </c>
      <c r="AX8">
        <f t="shared" si="7"/>
        <v>5.1167738014267394E-4</v>
      </c>
      <c r="AZ8">
        <f t="shared" si="8"/>
        <v>9.1569094556245568E-5</v>
      </c>
      <c r="BA8">
        <f t="shared" si="9"/>
        <v>1.5967354429771341E-4</v>
      </c>
    </row>
    <row r="9" spans="1:61" ht="51" x14ac:dyDescent="0.2">
      <c r="A9" s="13">
        <v>53</v>
      </c>
      <c r="B9" t="s">
        <v>218</v>
      </c>
      <c r="C9" s="11" t="s">
        <v>219</v>
      </c>
      <c r="D9">
        <v>7.0000000000000001E-3</v>
      </c>
      <c r="E9" t="s">
        <v>216</v>
      </c>
      <c r="F9">
        <v>37.299999999999997</v>
      </c>
      <c r="G9">
        <v>23.3</v>
      </c>
      <c r="H9">
        <v>22500</v>
      </c>
      <c r="I9">
        <v>6480</v>
      </c>
      <c r="J9">
        <v>12919</v>
      </c>
      <c r="K9" s="12">
        <v>6.4389999999999998E-9</v>
      </c>
      <c r="L9">
        <v>20</v>
      </c>
      <c r="M9">
        <v>5</v>
      </c>
      <c r="N9" t="s">
        <v>69</v>
      </c>
      <c r="O9">
        <v>40</v>
      </c>
      <c r="P9">
        <v>0.4</v>
      </c>
      <c r="Q9">
        <v>23.289398570570199</v>
      </c>
      <c r="R9">
        <v>2026</v>
      </c>
      <c r="S9">
        <v>1870</v>
      </c>
      <c r="T9">
        <v>2015</v>
      </c>
      <c r="U9">
        <v>19.506015037593901</v>
      </c>
      <c r="V9">
        <v>2078</v>
      </c>
      <c r="W9">
        <v>3795</v>
      </c>
      <c r="X9">
        <v>1717</v>
      </c>
      <c r="Y9">
        <f t="shared" si="0"/>
        <v>-2.2387404864682717E-2</v>
      </c>
      <c r="Z9">
        <f t="shared" si="1"/>
        <v>-2.7744655949503556E-2</v>
      </c>
      <c r="AA9">
        <f t="shared" si="2"/>
        <v>6.1071890692594782E-3</v>
      </c>
      <c r="AB9">
        <f t="shared" si="3"/>
        <v>5.2775646805848231E-3</v>
      </c>
      <c r="AD9">
        <f t="shared" si="4"/>
        <v>1.0944116044982867E-2</v>
      </c>
      <c r="AE9">
        <f t="shared" si="5"/>
        <v>1.6013067162711947E-2</v>
      </c>
      <c r="AW9">
        <f t="shared" si="6"/>
        <v>7.9711135804975702E-7</v>
      </c>
      <c r="AX9">
        <f t="shared" si="7"/>
        <v>2.9667834295688631E-6</v>
      </c>
      <c r="AZ9">
        <f t="shared" si="8"/>
        <v>1.5556051376291288E-5</v>
      </c>
      <c r="BA9">
        <f t="shared" si="9"/>
        <v>8.1235379679556394E-5</v>
      </c>
    </row>
    <row r="10" spans="1:61" ht="34" x14ac:dyDescent="0.2">
      <c r="A10" s="13">
        <v>54</v>
      </c>
      <c r="B10" t="s">
        <v>239</v>
      </c>
      <c r="C10" s="11" t="s">
        <v>159</v>
      </c>
      <c r="D10">
        <v>7.0000000000000001E-3</v>
      </c>
      <c r="E10" t="s">
        <v>216</v>
      </c>
      <c r="F10">
        <v>38</v>
      </c>
      <c r="G10">
        <v>24</v>
      </c>
      <c r="H10">
        <v>22500</v>
      </c>
      <c r="I10">
        <v>6480</v>
      </c>
      <c r="J10">
        <v>13014</v>
      </c>
      <c r="K10" s="12">
        <v>6.534E-9</v>
      </c>
      <c r="L10">
        <v>20</v>
      </c>
      <c r="M10">
        <v>5</v>
      </c>
      <c r="N10" t="s">
        <v>69</v>
      </c>
      <c r="O10">
        <v>40</v>
      </c>
      <c r="P10">
        <v>0.4</v>
      </c>
      <c r="Q10">
        <v>23.981684407261699</v>
      </c>
      <c r="R10">
        <v>2027</v>
      </c>
      <c r="S10">
        <v>1870</v>
      </c>
      <c r="T10">
        <v>2011</v>
      </c>
      <c r="U10">
        <v>19.594736842105199</v>
      </c>
      <c r="V10">
        <v>2103</v>
      </c>
      <c r="W10">
        <v>3790</v>
      </c>
      <c r="X10">
        <v>1687</v>
      </c>
      <c r="Y10">
        <f t="shared" si="0"/>
        <v>-2.0421363253563529E-2</v>
      </c>
      <c r="Z10">
        <f t="shared" si="1"/>
        <v>-2.6666938280433056E-2</v>
      </c>
      <c r="AA10">
        <f t="shared" si="2"/>
        <v>7.1581192560701608E-3</v>
      </c>
      <c r="AB10">
        <f t="shared" si="3"/>
        <v>5.9198846780582261E-3</v>
      </c>
      <c r="AD10">
        <f t="shared" si="4"/>
        <v>1.0788392290052282E-2</v>
      </c>
      <c r="AE10">
        <f t="shared" si="5"/>
        <v>1.3360501165263716E-2</v>
      </c>
      <c r="AW10">
        <f t="shared" si="6"/>
        <v>2.5001699140181052E-8</v>
      </c>
      <c r="AX10">
        <f t="shared" si="7"/>
        <v>1.166649108693382E-6</v>
      </c>
      <c r="AZ10">
        <f t="shared" si="8"/>
        <v>1.4351916143327569E-5</v>
      </c>
      <c r="BA10">
        <f t="shared" si="9"/>
        <v>4.0455975073321088E-5</v>
      </c>
    </row>
    <row r="11" spans="1:61" ht="51" x14ac:dyDescent="0.2">
      <c r="A11" s="13">
        <v>55</v>
      </c>
      <c r="B11" t="s">
        <v>214</v>
      </c>
      <c r="C11" s="11" t="s">
        <v>215</v>
      </c>
      <c r="D11">
        <v>0</v>
      </c>
      <c r="E11" t="s">
        <v>216</v>
      </c>
      <c r="F11">
        <v>2.6</v>
      </c>
      <c r="G11">
        <v>2.5</v>
      </c>
      <c r="H11">
        <v>22500</v>
      </c>
      <c r="I11">
        <v>6460</v>
      </c>
      <c r="J11">
        <v>8558</v>
      </c>
      <c r="K11" s="12">
        <v>2.098E-9</v>
      </c>
      <c r="L11">
        <v>20</v>
      </c>
      <c r="M11">
        <v>5</v>
      </c>
      <c r="N11" t="s">
        <v>69</v>
      </c>
      <c r="O11">
        <v>40</v>
      </c>
      <c r="P11">
        <v>0.4</v>
      </c>
      <c r="Q11">
        <v>2.4724777435929299</v>
      </c>
      <c r="R11">
        <v>1674</v>
      </c>
      <c r="S11">
        <v>1510</v>
      </c>
      <c r="T11">
        <v>1659</v>
      </c>
      <c r="U11">
        <v>22.7060150375939</v>
      </c>
      <c r="V11">
        <v>2763</v>
      </c>
      <c r="W11">
        <v>4095</v>
      </c>
      <c r="X11">
        <v>1332</v>
      </c>
      <c r="Y11">
        <f t="shared" si="0"/>
        <v>-1.9578978256038937E-2</v>
      </c>
      <c r="Z11">
        <f t="shared" si="1"/>
        <v>-4.2231232207563085E-2</v>
      </c>
      <c r="AA11">
        <f t="shared" si="2"/>
        <v>7.608408719837448E-3</v>
      </c>
      <c r="AB11">
        <f t="shared" si="3"/>
        <v>-3.3564383542734359E-3</v>
      </c>
      <c r="AD11">
        <f t="shared" si="4"/>
        <v>1.3745887775316008E-2</v>
      </c>
      <c r="AE11">
        <f t="shared" si="5"/>
        <v>4.035458366518585E-3</v>
      </c>
      <c r="AW11">
        <f t="shared" si="6"/>
        <v>5.7887883248098517E-5</v>
      </c>
      <c r="AX11">
        <f t="shared" si="7"/>
        <v>1.126567842603777E-5</v>
      </c>
      <c r="AZ11">
        <f t="shared" si="8"/>
        <v>1.8894943073158207E-4</v>
      </c>
      <c r="BA11">
        <f t="shared" si="9"/>
        <v>1.6284924227904846E-5</v>
      </c>
    </row>
    <row r="12" spans="1:61" ht="34" x14ac:dyDescent="0.2">
      <c r="A12" s="13">
        <v>80</v>
      </c>
      <c r="B12" t="s">
        <v>310</v>
      </c>
      <c r="C12" s="11" t="s">
        <v>288</v>
      </c>
      <c r="D12">
        <v>0.106</v>
      </c>
      <c r="E12" t="s">
        <v>282</v>
      </c>
      <c r="F12">
        <v>-1</v>
      </c>
      <c r="G12">
        <v>80.3</v>
      </c>
      <c r="H12">
        <v>27120</v>
      </c>
      <c r="I12">
        <v>4160</v>
      </c>
      <c r="J12">
        <v>10882</v>
      </c>
      <c r="K12" s="12">
        <v>6.7219999999999997E-9</v>
      </c>
      <c r="L12">
        <v>20</v>
      </c>
      <c r="M12">
        <v>5</v>
      </c>
      <c r="N12" t="s">
        <v>69</v>
      </c>
      <c r="O12">
        <v>40</v>
      </c>
      <c r="P12">
        <v>0.4</v>
      </c>
      <c r="Q12">
        <v>25.381567498558599</v>
      </c>
      <c r="R12">
        <v>3495</v>
      </c>
      <c r="S12">
        <v>2563</v>
      </c>
      <c r="T12">
        <v>3478</v>
      </c>
      <c r="U12">
        <v>0.557894736842105</v>
      </c>
      <c r="V12">
        <v>2566</v>
      </c>
      <c r="W12">
        <v>2663</v>
      </c>
      <c r="X12">
        <v>97</v>
      </c>
      <c r="Y12">
        <f t="shared" si="0"/>
        <v>0.17090883021869244</v>
      </c>
      <c r="Z12">
        <f t="shared" si="1"/>
        <v>0.16031842068482099</v>
      </c>
      <c r="AA12">
        <f t="shared" si="2"/>
        <v>0.1094319850944734</v>
      </c>
      <c r="AB12">
        <f t="shared" si="3"/>
        <v>0.11736320489541351</v>
      </c>
      <c r="AD12">
        <f t="shared" si="4"/>
        <v>9.4275989416474207E-2</v>
      </c>
      <c r="AE12">
        <f t="shared" si="5"/>
        <v>9.7840607886140074E-2</v>
      </c>
      <c r="AW12">
        <f t="shared" si="6"/>
        <v>1.1778521688687592E-5</v>
      </c>
      <c r="AX12">
        <f t="shared" si="7"/>
        <v>1.2912242549514955E-4</v>
      </c>
      <c r="AZ12">
        <f t="shared" si="8"/>
        <v>1.3745242416262474E-4</v>
      </c>
      <c r="BA12">
        <f t="shared" si="9"/>
        <v>6.6575679667719504E-5</v>
      </c>
    </row>
    <row r="13" spans="1:61" ht="34" x14ac:dyDescent="0.2">
      <c r="A13" s="13">
        <v>81</v>
      </c>
      <c r="B13" t="s">
        <v>311</v>
      </c>
      <c r="C13" s="11" t="s">
        <v>290</v>
      </c>
      <c r="D13">
        <v>2.8400000000000002E-2</v>
      </c>
      <c r="E13" t="s">
        <v>282</v>
      </c>
      <c r="F13">
        <v>100</v>
      </c>
      <c r="G13">
        <v>80.3</v>
      </c>
      <c r="H13">
        <v>27120</v>
      </c>
      <c r="I13">
        <v>4180</v>
      </c>
      <c r="J13">
        <v>16130</v>
      </c>
      <c r="K13" s="12">
        <v>1.1949999999999999E-8</v>
      </c>
      <c r="L13">
        <v>20</v>
      </c>
      <c r="M13">
        <v>5</v>
      </c>
      <c r="N13" t="s">
        <v>69</v>
      </c>
      <c r="O13">
        <v>40</v>
      </c>
      <c r="P13">
        <v>0.4</v>
      </c>
      <c r="Q13">
        <v>80.215304007227701</v>
      </c>
      <c r="R13">
        <v>2842</v>
      </c>
      <c r="S13">
        <v>2042</v>
      </c>
      <c r="T13">
        <v>2827</v>
      </c>
      <c r="U13">
        <v>12.9308270676691</v>
      </c>
      <c r="V13">
        <v>2087</v>
      </c>
      <c r="W13">
        <v>3299</v>
      </c>
      <c r="X13">
        <v>1212</v>
      </c>
      <c r="Y13">
        <f t="shared" si="0"/>
        <v>2.6573082895316617E-2</v>
      </c>
      <c r="Z13">
        <f t="shared" si="1"/>
        <v>4.1074331974542785E-2</v>
      </c>
      <c r="AA13">
        <f t="shared" si="2"/>
        <v>3.2278585573256927E-2</v>
      </c>
      <c r="AB13">
        <f t="shared" si="3"/>
        <v>4.6293698514244745E-2</v>
      </c>
      <c r="AD13">
        <f t="shared" si="4"/>
        <v>1.5650122426693305E-2</v>
      </c>
      <c r="AE13">
        <f t="shared" si="5"/>
        <v>3.4383828207056766E-2</v>
      </c>
      <c r="AW13">
        <f t="shared" si="6"/>
        <v>1.5043426049076749E-5</v>
      </c>
      <c r="AX13">
        <f t="shared" si="7"/>
        <v>3.2018444651868454E-4</v>
      </c>
      <c r="AZ13">
        <f t="shared" si="8"/>
        <v>1.6255937813430908E-4</v>
      </c>
      <c r="BA13">
        <f t="shared" si="9"/>
        <v>3.5806200011568169E-5</v>
      </c>
    </row>
    <row r="14" spans="1:61" ht="34" x14ac:dyDescent="0.2">
      <c r="A14" s="13">
        <v>82</v>
      </c>
      <c r="B14" t="s">
        <v>312</v>
      </c>
      <c r="C14" s="11" t="s">
        <v>281</v>
      </c>
      <c r="D14">
        <v>1.7999999999999999E-2</v>
      </c>
      <c r="E14" t="s">
        <v>282</v>
      </c>
      <c r="F14">
        <v>38</v>
      </c>
      <c r="G14">
        <v>24</v>
      </c>
      <c r="H14">
        <v>27120</v>
      </c>
      <c r="I14">
        <v>4160</v>
      </c>
      <c r="J14">
        <v>10696</v>
      </c>
      <c r="K14" s="12">
        <v>6.5359999999999998E-9</v>
      </c>
      <c r="L14">
        <v>20</v>
      </c>
      <c r="M14">
        <v>5</v>
      </c>
      <c r="N14" t="s">
        <v>69</v>
      </c>
      <c r="O14">
        <v>40</v>
      </c>
      <c r="P14">
        <v>0.4</v>
      </c>
      <c r="Q14">
        <v>23.996367819994301</v>
      </c>
      <c r="R14">
        <v>2519</v>
      </c>
      <c r="S14">
        <v>2370</v>
      </c>
      <c r="T14">
        <v>2494</v>
      </c>
      <c r="U14">
        <v>14.5368421052631</v>
      </c>
      <c r="V14">
        <v>2402</v>
      </c>
      <c r="W14">
        <v>3623</v>
      </c>
      <c r="X14">
        <v>1221</v>
      </c>
      <c r="Y14">
        <f t="shared" si="0"/>
        <v>7.3086656944572961E-3</v>
      </c>
      <c r="Z14">
        <f t="shared" si="1"/>
        <v>2.7745934864342042E-3</v>
      </c>
      <c r="AA14">
        <f t="shared" si="2"/>
        <v>2.1980961426750163E-2</v>
      </c>
      <c r="AB14">
        <f t="shared" si="3"/>
        <v>2.3467044897132486E-2</v>
      </c>
      <c r="AD14">
        <f t="shared" si="4"/>
        <v>9.3579012867874654E-3</v>
      </c>
      <c r="AE14">
        <f t="shared" si="5"/>
        <v>2.4257172617826672E-2</v>
      </c>
      <c r="AW14">
        <f t="shared" si="6"/>
        <v>1.5848053881272705E-5</v>
      </c>
      <c r="AX14">
        <f t="shared" si="7"/>
        <v>2.9888579907262366E-5</v>
      </c>
      <c r="AZ14">
        <f t="shared" si="8"/>
        <v>7.4685870168909727E-5</v>
      </c>
      <c r="BA14">
        <f t="shared" si="9"/>
        <v>3.9152209169279906E-5</v>
      </c>
    </row>
    <row r="15" spans="1:61" ht="34" x14ac:dyDescent="0.2">
      <c r="A15" s="13">
        <v>127</v>
      </c>
      <c r="B15" t="s">
        <v>364</v>
      </c>
      <c r="C15" s="11" t="s">
        <v>344</v>
      </c>
      <c r="D15">
        <v>0.24099999999999999</v>
      </c>
      <c r="E15" t="s">
        <v>345</v>
      </c>
      <c r="F15">
        <v>-1</v>
      </c>
      <c r="G15">
        <v>40.5</v>
      </c>
      <c r="H15">
        <v>27120</v>
      </c>
      <c r="I15">
        <v>4160</v>
      </c>
      <c r="J15">
        <v>16127</v>
      </c>
      <c r="K15" s="12">
        <v>1.1967000000000001E-8</v>
      </c>
      <c r="L15">
        <v>20</v>
      </c>
      <c r="M15">
        <v>5</v>
      </c>
      <c r="N15" t="s">
        <v>69</v>
      </c>
      <c r="O15">
        <v>40</v>
      </c>
      <c r="P15">
        <v>0.4</v>
      </c>
      <c r="Q15">
        <v>80.443693988082302</v>
      </c>
      <c r="R15">
        <v>3735</v>
      </c>
      <c r="S15">
        <v>2150</v>
      </c>
      <c r="T15">
        <v>3727</v>
      </c>
      <c r="U15">
        <v>0.90526315789473599</v>
      </c>
      <c r="V15">
        <v>2155</v>
      </c>
      <c r="W15">
        <v>2295</v>
      </c>
      <c r="X15">
        <v>140</v>
      </c>
      <c r="Y15">
        <f t="shared" si="0"/>
        <v>0.27039486142926206</v>
      </c>
      <c r="Z15">
        <f t="shared" si="1"/>
        <v>0.27159248574221317</v>
      </c>
      <c r="AA15">
        <f t="shared" si="2"/>
        <v>0.16261136480539395</v>
      </c>
      <c r="AB15">
        <f t="shared" si="3"/>
        <v>0.18368257520708645</v>
      </c>
      <c r="AD15">
        <f t="shared" si="4"/>
        <v>0.24825376356210216</v>
      </c>
      <c r="AE15">
        <f t="shared" si="5"/>
        <v>0.24945102326807966</v>
      </c>
      <c r="AW15">
        <f t="shared" si="6"/>
        <v>6.1447781276730284E-3</v>
      </c>
      <c r="AX15">
        <f t="shared" si="7"/>
        <v>3.2852871848913006E-3</v>
      </c>
      <c r="AZ15">
        <f t="shared" si="8"/>
        <v>5.2617085814881115E-5</v>
      </c>
      <c r="BA15">
        <f t="shared" si="9"/>
        <v>7.1419794277624007E-5</v>
      </c>
    </row>
    <row r="16" spans="1:61" ht="34" x14ac:dyDescent="0.2">
      <c r="A16" s="13">
        <v>128</v>
      </c>
      <c r="B16" t="s">
        <v>365</v>
      </c>
      <c r="C16" s="11" t="s">
        <v>347</v>
      </c>
      <c r="D16">
        <v>0.28199999999999997</v>
      </c>
      <c r="E16" t="s">
        <v>345</v>
      </c>
      <c r="F16">
        <v>-1</v>
      </c>
      <c r="G16">
        <v>40.5</v>
      </c>
      <c r="H16">
        <v>27120</v>
      </c>
      <c r="I16">
        <v>4160</v>
      </c>
      <c r="J16">
        <v>16325</v>
      </c>
      <c r="K16" s="12">
        <v>1.2165E-8</v>
      </c>
      <c r="L16">
        <v>20</v>
      </c>
      <c r="M16">
        <v>5</v>
      </c>
      <c r="N16" t="s">
        <v>69</v>
      </c>
      <c r="O16">
        <v>40</v>
      </c>
      <c r="P16">
        <v>0.4</v>
      </c>
      <c r="Q16">
        <v>83.1276780347754</v>
      </c>
      <c r="R16">
        <v>3775</v>
      </c>
      <c r="S16">
        <v>2123</v>
      </c>
      <c r="T16">
        <v>3762</v>
      </c>
      <c r="U16">
        <v>0.76315789473684204</v>
      </c>
      <c r="V16">
        <v>2134</v>
      </c>
      <c r="W16">
        <v>2255</v>
      </c>
      <c r="X16">
        <v>121</v>
      </c>
      <c r="Y16">
        <f t="shared" si="0"/>
        <v>0.29081823065208984</v>
      </c>
      <c r="Z16">
        <f t="shared" si="1"/>
        <v>0.29133079649528204</v>
      </c>
      <c r="AA16">
        <f t="shared" si="2"/>
        <v>0.17352849652389893</v>
      </c>
      <c r="AB16">
        <f t="shared" si="3"/>
        <v>0.19544661330063939</v>
      </c>
      <c r="AD16">
        <f t="shared" si="4"/>
        <v>0.28369342466688802</v>
      </c>
      <c r="AE16">
        <f t="shared" si="5"/>
        <v>0.28641459106032929</v>
      </c>
      <c r="AW16">
        <f t="shared" si="6"/>
        <v>1.1766067066365802E-2</v>
      </c>
      <c r="AX16">
        <f t="shared" si="7"/>
        <v>7.4914887491290489E-3</v>
      </c>
      <c r="AZ16">
        <f t="shared" si="8"/>
        <v>2.867687102424882E-6</v>
      </c>
      <c r="BA16">
        <f t="shared" si="9"/>
        <v>1.9488614229939552E-5</v>
      </c>
    </row>
    <row r="17" spans="1:53" ht="34" x14ac:dyDescent="0.2">
      <c r="A17" s="13">
        <v>129</v>
      </c>
      <c r="B17" t="s">
        <v>366</v>
      </c>
      <c r="C17" s="11" t="s">
        <v>349</v>
      </c>
      <c r="D17">
        <v>0.25800000000000001</v>
      </c>
      <c r="E17" t="s">
        <v>345</v>
      </c>
      <c r="F17">
        <v>-1</v>
      </c>
      <c r="G17">
        <v>40.5</v>
      </c>
      <c r="H17">
        <v>27120</v>
      </c>
      <c r="I17">
        <v>4180</v>
      </c>
      <c r="J17">
        <v>16288</v>
      </c>
      <c r="K17" s="12">
        <v>1.2108E-8</v>
      </c>
      <c r="L17">
        <v>20</v>
      </c>
      <c r="M17">
        <v>5</v>
      </c>
      <c r="N17" t="s">
        <v>69</v>
      </c>
      <c r="O17">
        <v>40</v>
      </c>
      <c r="P17">
        <v>0.4</v>
      </c>
      <c r="Q17">
        <v>82.350501401120198</v>
      </c>
      <c r="R17">
        <v>3763</v>
      </c>
      <c r="S17">
        <v>2146</v>
      </c>
      <c r="T17">
        <v>3750</v>
      </c>
      <c r="U17">
        <v>0.83383458646616504</v>
      </c>
      <c r="V17">
        <v>2151</v>
      </c>
      <c r="W17">
        <v>2282</v>
      </c>
      <c r="X17">
        <v>131</v>
      </c>
      <c r="Y17">
        <f t="shared" si="0"/>
        <v>0.28125059265961305</v>
      </c>
      <c r="Z17">
        <f>AB17*$AO$2+$AP$2</f>
        <v>0.28212798357349422</v>
      </c>
      <c r="AA17">
        <f t="shared" si="2"/>
        <v>0.16841420009909094</v>
      </c>
      <c r="AB17">
        <f t="shared" si="3"/>
        <v>0.18996173452179452</v>
      </c>
      <c r="AD17">
        <f t="shared" si="4"/>
        <v>0.26686531179626422</v>
      </c>
      <c r="AE17">
        <f t="shared" si="5"/>
        <v>0.27023567525388625</v>
      </c>
      <c r="AW17">
        <f t="shared" si="6"/>
        <v>8.0256155438857175E-3</v>
      </c>
      <c r="AX17">
        <f t="shared" si="7"/>
        <v>4.6292055692827693E-3</v>
      </c>
      <c r="AZ17">
        <f t="shared" si="8"/>
        <v>7.859375324498132E-5</v>
      </c>
      <c r="BA17">
        <f t="shared" si="9"/>
        <v>1.4971174891856428E-4</v>
      </c>
    </row>
    <row r="18" spans="1:53" ht="34" x14ac:dyDescent="0.2">
      <c r="A18" s="13">
        <v>130</v>
      </c>
      <c r="B18" t="s">
        <v>367</v>
      </c>
      <c r="C18" s="11" t="s">
        <v>351</v>
      </c>
      <c r="D18">
        <v>0.15670000000000001</v>
      </c>
      <c r="E18" t="s">
        <v>345</v>
      </c>
      <c r="F18">
        <v>-1</v>
      </c>
      <c r="G18">
        <v>40.5</v>
      </c>
      <c r="H18">
        <v>27120</v>
      </c>
      <c r="I18">
        <v>4180</v>
      </c>
      <c r="J18">
        <v>16108</v>
      </c>
      <c r="K18" s="12">
        <v>1.1927999999999999E-8</v>
      </c>
      <c r="L18">
        <v>20</v>
      </c>
      <c r="M18">
        <v>5</v>
      </c>
      <c r="N18" t="s">
        <v>69</v>
      </c>
      <c r="O18">
        <v>40</v>
      </c>
      <c r="P18">
        <v>0.4</v>
      </c>
      <c r="Q18">
        <v>79.920222460056905</v>
      </c>
      <c r="R18">
        <v>3646</v>
      </c>
      <c r="S18">
        <v>2195</v>
      </c>
      <c r="T18">
        <v>3630</v>
      </c>
      <c r="U18">
        <v>2.1030075187969901</v>
      </c>
      <c r="V18">
        <v>2198</v>
      </c>
      <c r="W18">
        <v>2431</v>
      </c>
      <c r="X18">
        <v>233</v>
      </c>
      <c r="Y18">
        <f t="shared" si="0"/>
        <v>0.21509783922984732</v>
      </c>
      <c r="Z18">
        <f t="shared" si="1"/>
        <v>0.22003272046888919</v>
      </c>
      <c r="AA18">
        <f t="shared" si="2"/>
        <v>0.13305282975637034</v>
      </c>
      <c r="AB18">
        <f t="shared" si="3"/>
        <v>0.15295294234447049</v>
      </c>
      <c r="AD18">
        <f t="shared" si="4"/>
        <v>0.16723160076157989</v>
      </c>
      <c r="AE18">
        <f t="shared" si="5"/>
        <v>0.16584126592616344</v>
      </c>
      <c r="AW18">
        <f t="shared" si="6"/>
        <v>5.5918866053120434E-4</v>
      </c>
      <c r="AX18">
        <f t="shared" si="7"/>
        <v>1.4040441073862365E-5</v>
      </c>
      <c r="AZ18">
        <f t="shared" si="8"/>
        <v>1.1091461460131001E-4</v>
      </c>
      <c r="BA18">
        <f t="shared" si="9"/>
        <v>8.3562742732836616E-5</v>
      </c>
    </row>
    <row r="19" spans="1:53" x14ac:dyDescent="0.2">
      <c r="A19" s="13"/>
      <c r="C19" s="11"/>
      <c r="K19" s="12"/>
    </row>
    <row r="22" spans="1:53" x14ac:dyDescent="0.2">
      <c r="AD22" t="s">
        <v>37</v>
      </c>
      <c r="AE22" s="14" t="s">
        <v>37</v>
      </c>
    </row>
    <row r="23" spans="1:53" x14ac:dyDescent="0.2">
      <c r="AD23">
        <f>RSQ(D2:D18,AD2:AD18)</f>
        <v>0.99368457769308427</v>
      </c>
      <c r="AE23" s="14">
        <f>RSQ(D2:D19,AE2:AE19)</f>
        <v>0.99594556958903002</v>
      </c>
    </row>
    <row r="24" spans="1:53" x14ac:dyDescent="0.2">
      <c r="AE24" s="14"/>
    </row>
    <row r="25" spans="1:53" x14ac:dyDescent="0.2">
      <c r="AD25" t="s">
        <v>403</v>
      </c>
      <c r="AE25" s="14" t="s">
        <v>403</v>
      </c>
    </row>
    <row r="26" spans="1:53" x14ac:dyDescent="0.2">
      <c r="AD26">
        <f>AVERAGE(AZ2:AZ19)^0.5</f>
        <v>1.2134081713443814E-2</v>
      </c>
      <c r="AE26" s="14">
        <f>AVERAGE(BA2:BA19)^0.5</f>
        <v>1.0369813796612214E-2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6B8C-5D57-2C44-9F2C-7BFBAE1D2A30}">
  <dimension ref="A1:BI27"/>
  <sheetViews>
    <sheetView zoomScale="110" zoomScaleNormal="110" workbookViewId="0">
      <selection activeCell="D11" sqref="D11"/>
    </sheetView>
  </sheetViews>
  <sheetFormatPr baseColWidth="10" defaultRowHeight="16" x14ac:dyDescent="0.2"/>
  <cols>
    <col min="27" max="27" width="12.6640625" customWidth="1"/>
    <col min="28" max="28" width="14.1640625" customWidth="1"/>
    <col min="31" max="31" width="12.5" bestFit="1" customWidth="1"/>
    <col min="35" max="35" width="12.6640625" customWidth="1"/>
    <col min="52" max="52" width="11.1640625" bestFit="1" customWidth="1"/>
    <col min="53" max="53" width="12.5" bestFit="1" customWidth="1"/>
  </cols>
  <sheetData>
    <row r="1" spans="1:61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E1" t="s">
        <v>400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  <c r="BA1" t="s">
        <v>402</v>
      </c>
      <c r="BB1" t="s">
        <v>148</v>
      </c>
      <c r="BC1" t="s">
        <v>21</v>
      </c>
      <c r="BD1" t="s">
        <v>24</v>
      </c>
      <c r="BE1" t="s">
        <v>25</v>
      </c>
      <c r="BF1" t="s">
        <v>27</v>
      </c>
      <c r="BG1" t="s">
        <v>150</v>
      </c>
      <c r="BH1" t="s">
        <v>386</v>
      </c>
      <c r="BI1" t="s">
        <v>401</v>
      </c>
    </row>
    <row r="2" spans="1:61" ht="34" x14ac:dyDescent="0.2">
      <c r="A2" s="13">
        <v>28</v>
      </c>
      <c r="B2" t="s">
        <v>170</v>
      </c>
      <c r="C2" s="11" t="s">
        <v>171</v>
      </c>
      <c r="D2">
        <v>0.437</v>
      </c>
      <c r="E2" t="s">
        <v>155</v>
      </c>
      <c r="F2">
        <v>100</v>
      </c>
      <c r="G2">
        <v>45.4</v>
      </c>
      <c r="H2">
        <v>29225</v>
      </c>
      <c r="I2">
        <v>4140</v>
      </c>
      <c r="J2">
        <v>5936</v>
      </c>
      <c r="K2" s="12">
        <v>1.796E-9</v>
      </c>
      <c r="L2">
        <v>20</v>
      </c>
      <c r="M2">
        <v>2</v>
      </c>
      <c r="N2" t="s">
        <v>120</v>
      </c>
      <c r="O2">
        <v>8</v>
      </c>
      <c r="P2">
        <v>0.08</v>
      </c>
      <c r="Q2">
        <v>45.297485697130199</v>
      </c>
      <c r="R2">
        <v>1703</v>
      </c>
      <c r="S2">
        <v>603</v>
      </c>
      <c r="T2">
        <v>1527</v>
      </c>
      <c r="U2">
        <v>10.1458646616541</v>
      </c>
      <c r="V2">
        <v>615</v>
      </c>
      <c r="W2">
        <v>3283</v>
      </c>
      <c r="X2">
        <v>2668</v>
      </c>
      <c r="Y2">
        <f>AA2*$AM$2+$AN$2</f>
        <v>0.29371196450301335</v>
      </c>
      <c r="Z2">
        <f>AB2*$AO$2+$AP$2</f>
        <v>0.29991929209247109</v>
      </c>
      <c r="AA2">
        <f>((Q2^0.5)/(120*3.1415*P2))*LN($AI$2*V2/X2)</f>
        <v>-0.32748820013974217</v>
      </c>
      <c r="AB2">
        <f>((Q2^0.5)/(120*3.14*P2))*LN((V2*($AJ$2*R2-V2))/(R2*X2))</f>
        <v>-0.21734588224468002</v>
      </c>
      <c r="AC2">
        <f>$AS$2*AA2^2+$AT$2*AA2+$AU$2</f>
        <v>4.3340764683114021E-2</v>
      </c>
      <c r="AD2">
        <f>$AS$3*AB2^2+$AT$3*AB2+$AU$3</f>
        <v>0.26317832960644433</v>
      </c>
      <c r="AE2">
        <f>$BB$2*Q2+$BC$2*R2+$BD$2*V2+$BE$2*W2+$BF$2*X2+$BG$2*U2+$BH$2*AD2+$BI$2</f>
        <v>-0.10941711285025546</v>
      </c>
      <c r="AH2" t="s">
        <v>376</v>
      </c>
      <c r="AI2">
        <v>1</v>
      </c>
      <c r="AJ2">
        <v>2</v>
      </c>
      <c r="AK2">
        <f>RSQ(AA2:AA115,D2:D115)</f>
        <v>0.43818460385239405</v>
      </c>
      <c r="AL2">
        <f>RSQ(AB2:AB115,D2:D115)</f>
        <v>0.45152924822173413</v>
      </c>
      <c r="AM2">
        <f>SLOPE(D2:D19,AA2:AA19)</f>
        <v>-1.265411123613156</v>
      </c>
      <c r="AN2">
        <f>INTERCEPT(D2:D19,AA2:AA19)</f>
        <v>-0.12069524680586791</v>
      </c>
      <c r="AO2">
        <f>SLOPE(D2:D19,AB2:AB19)</f>
        <v>-1.9339975504802516</v>
      </c>
      <c r="AP2">
        <f>INTERCEPT(D2:D19,AB2:AB19)</f>
        <v>-0.12042711177570925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0.58444220815290249</v>
      </c>
      <c r="AX2">
        <f>(AB2-D2)^2</f>
        <v>0.42816853361056867</v>
      </c>
      <c r="AZ2">
        <f>(AD2-D2)^2</f>
        <v>3.021397309840591E-2</v>
      </c>
      <c r="BA2">
        <f>(D2-AE2)^2</f>
        <v>0.29857166121560885</v>
      </c>
      <c r="BB2">
        <v>-7.5770000000000004E-3</v>
      </c>
      <c r="BC2">
        <v>4.9799999999999996E-4</v>
      </c>
      <c r="BD2">
        <v>-5.0199999999999995E-4</v>
      </c>
      <c r="BE2">
        <v>-6.2299999999999996E-4</v>
      </c>
      <c r="BF2">
        <v>-1.21E-4</v>
      </c>
      <c r="BG2">
        <v>4.8230000000000002E-2</v>
      </c>
      <c r="BH2">
        <v>0.69486300000000001</v>
      </c>
      <c r="BI2">
        <v>1.3903669999999999</v>
      </c>
    </row>
    <row r="3" spans="1:61" ht="34" x14ac:dyDescent="0.2">
      <c r="A3" s="13">
        <v>29</v>
      </c>
      <c r="B3" t="s">
        <v>168</v>
      </c>
      <c r="C3" s="11" t="s">
        <v>169</v>
      </c>
      <c r="D3">
        <v>0.42399999999999999</v>
      </c>
      <c r="E3" t="s">
        <v>155</v>
      </c>
      <c r="F3">
        <v>100</v>
      </c>
      <c r="G3">
        <v>45.5</v>
      </c>
      <c r="H3">
        <v>29225</v>
      </c>
      <c r="I3">
        <v>4120</v>
      </c>
      <c r="J3">
        <v>5918</v>
      </c>
      <c r="K3" s="12">
        <v>1.7979999999999901E-9</v>
      </c>
      <c r="L3">
        <v>20</v>
      </c>
      <c r="M3">
        <v>2</v>
      </c>
      <c r="N3" t="s">
        <v>120</v>
      </c>
      <c r="O3">
        <v>8</v>
      </c>
      <c r="P3">
        <v>0.08</v>
      </c>
      <c r="Q3">
        <v>45.398427138142097</v>
      </c>
      <c r="R3">
        <v>1703</v>
      </c>
      <c r="S3">
        <v>607</v>
      </c>
      <c r="T3">
        <v>1531</v>
      </c>
      <c r="U3">
        <v>10.480451127819499</v>
      </c>
      <c r="V3">
        <v>619</v>
      </c>
      <c r="W3">
        <v>3282</v>
      </c>
      <c r="X3">
        <v>2663</v>
      </c>
      <c r="Y3">
        <f t="shared" ref="Y3:Y18" si="0">AA3*$AM$2+$AN$2</f>
        <v>0.29181030468259461</v>
      </c>
      <c r="Z3">
        <f t="shared" ref="Z3:Z18" si="1">AB3*$AO$2+$AP$2</f>
        <v>0.29739393811559001</v>
      </c>
      <c r="AA3">
        <f t="shared" ref="AA3:AA18" si="2">((Q3^0.5)/(120*3.1415*P3))*LN($AI$2*V3/X3)</f>
        <v>-0.32598540015250255</v>
      </c>
      <c r="AB3">
        <f t="shared" ref="AB3:AB18" si="3">((Q3^0.5)/(120*3.14*P3))*LN((V3*($AJ$2*R3-V3))/(R3*X3))</f>
        <v>-0.21604011328119088</v>
      </c>
      <c r="AD3">
        <f t="shared" ref="AD3:AD18" si="4">$AS$3*AB3^2+$AT$3*AB3+$AU$3</f>
        <v>0.26041667443911054</v>
      </c>
      <c r="AE3">
        <f t="shared" ref="AE3:AE18" si="5">$BB$2*Q3+$BC$2*R3+$BD$2*V3+$BE$2*W3+$BF$2*X3+$BG$2*U3+$BH$2*AD3+$BI$2</f>
        <v>-9.6743812880184743E-2</v>
      </c>
      <c r="AI3" t="s">
        <v>398</v>
      </c>
      <c r="AJ3" t="s">
        <v>397</v>
      </c>
      <c r="AL3" t="s">
        <v>399</v>
      </c>
      <c r="AR3" t="s">
        <v>227</v>
      </c>
      <c r="AS3">
        <v>4.4553000000000003</v>
      </c>
      <c r="AT3">
        <v>-0.18410000000000001</v>
      </c>
      <c r="AU3">
        <v>1.2699999999999999E-2</v>
      </c>
      <c r="AW3">
        <f t="shared" ref="AW3:AW19" si="6">(AA3-D3)^2</f>
        <v>0.56247810044190938</v>
      </c>
      <c r="AX3">
        <f t="shared" ref="AX3:AX19" si="7">(AB3-D3)^2</f>
        <v>0.40965134660899954</v>
      </c>
      <c r="AZ3">
        <f t="shared" ref="AZ3:AZ19" si="8">(AD3-D3)^2</f>
        <v>2.6759504401559948E-2</v>
      </c>
      <c r="BA3">
        <f t="shared" ref="BA3:BA19" si="9">(D3-AE3)^2</f>
        <v>0.27117411865299279</v>
      </c>
    </row>
    <row r="4" spans="1:61" ht="34" x14ac:dyDescent="0.2">
      <c r="A4" s="13">
        <v>30</v>
      </c>
      <c r="B4" t="s">
        <v>166</v>
      </c>
      <c r="C4" s="11" t="s">
        <v>167</v>
      </c>
      <c r="D4">
        <v>0.41399999999999998</v>
      </c>
      <c r="E4" t="s">
        <v>155</v>
      </c>
      <c r="F4">
        <v>100</v>
      </c>
      <c r="G4">
        <v>45.9</v>
      </c>
      <c r="H4">
        <v>29225</v>
      </c>
      <c r="I4">
        <v>4120</v>
      </c>
      <c r="J4">
        <v>5927</v>
      </c>
      <c r="K4" s="12">
        <v>1.8070000000000001E-9</v>
      </c>
      <c r="L4">
        <v>20</v>
      </c>
      <c r="M4">
        <v>2</v>
      </c>
      <c r="N4" t="s">
        <v>120</v>
      </c>
      <c r="O4">
        <v>8</v>
      </c>
      <c r="P4">
        <v>0.08</v>
      </c>
      <c r="Q4">
        <v>45.854053884612703</v>
      </c>
      <c r="R4">
        <v>1703</v>
      </c>
      <c r="S4">
        <v>610</v>
      </c>
      <c r="T4">
        <v>1539</v>
      </c>
      <c r="U4">
        <v>10.5736842105263</v>
      </c>
      <c r="V4">
        <v>622</v>
      </c>
      <c r="W4">
        <v>3282</v>
      </c>
      <c r="X4">
        <v>2660</v>
      </c>
      <c r="Y4">
        <f t="shared" si="0"/>
        <v>0.29218116146761552</v>
      </c>
      <c r="Z4">
        <f t="shared" si="1"/>
        <v>0.29736305970301391</v>
      </c>
      <c r="AA4">
        <f t="shared" si="2"/>
        <v>-0.32627847232335716</v>
      </c>
      <c r="AB4">
        <f t="shared" si="3"/>
        <v>-0.21602414717380444</v>
      </c>
      <c r="AD4">
        <f t="shared" si="4"/>
        <v>0.26038300070681131</v>
      </c>
      <c r="AE4">
        <f t="shared" si="5"/>
        <v>-9.6865863789890039E-2</v>
      </c>
      <c r="AI4">
        <f>(AVERAGE(AW2:AW19))^0.5</f>
        <v>0.50766281226868393</v>
      </c>
      <c r="AJ4">
        <f>(AVERAGE(AX2:AX19))^0.5</f>
        <v>0.42152036619637501</v>
      </c>
      <c r="AL4">
        <f>(AVERAGE(AZ2:AZ19))^0.5</f>
        <v>0.13325926114733422</v>
      </c>
      <c r="AW4">
        <f>(AA4-D4)^2</f>
        <v>0.54801221658540333</v>
      </c>
      <c r="AX4">
        <f t="shared" si="7"/>
        <v>0.39693042602207956</v>
      </c>
      <c r="AZ4">
        <f t="shared" si="8"/>
        <v>2.3598182471843528E-2</v>
      </c>
      <c r="BA4">
        <f t="shared" si="9"/>
        <v>0.26098393078579041</v>
      </c>
    </row>
    <row r="5" spans="1:61" ht="34" x14ac:dyDescent="0.2">
      <c r="A5" s="13">
        <v>31</v>
      </c>
      <c r="B5" t="s">
        <v>164</v>
      </c>
      <c r="C5" s="11" t="s">
        <v>165</v>
      </c>
      <c r="D5">
        <v>0.1552</v>
      </c>
      <c r="E5" t="s">
        <v>155</v>
      </c>
      <c r="F5">
        <v>100</v>
      </c>
      <c r="G5">
        <v>45.8</v>
      </c>
      <c r="H5">
        <v>29225</v>
      </c>
      <c r="I5">
        <v>4120</v>
      </c>
      <c r="J5">
        <v>5925</v>
      </c>
      <c r="K5" s="12">
        <v>1.8050000000000001E-9</v>
      </c>
      <c r="L5">
        <v>20</v>
      </c>
      <c r="M5">
        <v>2</v>
      </c>
      <c r="N5" t="s">
        <v>120</v>
      </c>
      <c r="O5">
        <v>8</v>
      </c>
      <c r="P5">
        <v>0.08</v>
      </c>
      <c r="Q5">
        <v>45.752606893812803</v>
      </c>
      <c r="R5">
        <v>1699</v>
      </c>
      <c r="S5">
        <v>702</v>
      </c>
      <c r="T5">
        <v>1534</v>
      </c>
      <c r="U5">
        <v>16.033834586466099</v>
      </c>
      <c r="V5">
        <v>706</v>
      </c>
      <c r="W5">
        <v>3210</v>
      </c>
      <c r="X5">
        <v>2504</v>
      </c>
      <c r="Y5">
        <f t="shared" si="0"/>
        <v>0.23861954534978513</v>
      </c>
      <c r="Z5">
        <f t="shared" si="1"/>
        <v>0.22926199137684555</v>
      </c>
      <c r="AA5">
        <f t="shared" si="2"/>
        <v>-0.28395103018352935</v>
      </c>
      <c r="AB5">
        <f>((Q5^0.5)/(120*3.14*P5))*LN((V5*($AJ$2*R5-V5))/(R5*X5))</f>
        <v>-0.18081155431955939</v>
      </c>
      <c r="AD5">
        <f>$AS$3*AB5^2+$AT$3*AB5+$AU$3</f>
        <v>0.19164371996733542</v>
      </c>
      <c r="AE5">
        <f t="shared" si="5"/>
        <v>0.13905346985850264</v>
      </c>
      <c r="AW5">
        <f t="shared" si="6"/>
        <v>0.1928536273112551</v>
      </c>
      <c r="AX5">
        <f t="shared" si="7"/>
        <v>0.11290376463624624</v>
      </c>
      <c r="AZ5">
        <f>(AD5-D5)^2</f>
        <v>1.3281447250575625E-3</v>
      </c>
      <c r="BA5">
        <f t="shared" si="9"/>
        <v>2.6071043561028281E-4</v>
      </c>
    </row>
    <row r="6" spans="1:61" ht="34" x14ac:dyDescent="0.2">
      <c r="A6" s="13">
        <v>32</v>
      </c>
      <c r="B6" t="s">
        <v>162</v>
      </c>
      <c r="C6" s="11" t="s">
        <v>163</v>
      </c>
      <c r="D6">
        <v>7.9600000000000004E-2</v>
      </c>
      <c r="E6" t="s">
        <v>155</v>
      </c>
      <c r="F6">
        <v>100</v>
      </c>
      <c r="G6">
        <v>44.6</v>
      </c>
      <c r="H6">
        <v>29225</v>
      </c>
      <c r="I6">
        <v>4140</v>
      </c>
      <c r="J6">
        <v>5920</v>
      </c>
      <c r="K6" s="12">
        <v>1.7800000000000001E-9</v>
      </c>
      <c r="L6">
        <v>20</v>
      </c>
      <c r="M6">
        <v>2</v>
      </c>
      <c r="N6" t="s">
        <v>120</v>
      </c>
      <c r="O6">
        <v>8</v>
      </c>
      <c r="P6">
        <v>0.08</v>
      </c>
      <c r="Q6">
        <v>44.493998567339503</v>
      </c>
      <c r="R6">
        <v>1699</v>
      </c>
      <c r="S6">
        <v>734</v>
      </c>
      <c r="T6">
        <v>1519</v>
      </c>
      <c r="U6">
        <v>19.3451127819548</v>
      </c>
      <c r="V6">
        <v>758</v>
      </c>
      <c r="W6">
        <v>3283</v>
      </c>
      <c r="X6">
        <v>2525</v>
      </c>
      <c r="Y6">
        <f t="shared" si="0"/>
        <v>0.21608969226928826</v>
      </c>
      <c r="Z6">
        <f t="shared" si="1"/>
        <v>0.20592594382016799</v>
      </c>
      <c r="AA6">
        <f t="shared" si="2"/>
        <v>-0.26614665604766202</v>
      </c>
      <c r="AB6">
        <f t="shared" si="3"/>
        <v>-0.16874533037274894</v>
      </c>
      <c r="AD6">
        <f t="shared" si="4"/>
        <v>0.17063062277579935</v>
      </c>
      <c r="AE6">
        <f t="shared" si="5"/>
        <v>0.21956766876280875</v>
      </c>
      <c r="AW6">
        <f t="shared" si="6"/>
        <v>0.11954075016814031</v>
      </c>
      <c r="AX6">
        <f t="shared" si="7"/>
        <v>6.167540311794982E-2</v>
      </c>
      <c r="AZ6">
        <f t="shared" si="8"/>
        <v>8.2865742829498785E-3</v>
      </c>
      <c r="BA6">
        <f t="shared" si="9"/>
        <v>1.959094829889535E-2</v>
      </c>
    </row>
    <row r="7" spans="1:61" ht="34" x14ac:dyDescent="0.2">
      <c r="A7" s="13">
        <v>33</v>
      </c>
      <c r="B7" t="s">
        <v>160</v>
      </c>
      <c r="C7" s="11" t="s">
        <v>161</v>
      </c>
      <c r="D7">
        <v>5.11E-2</v>
      </c>
      <c r="E7" t="s">
        <v>155</v>
      </c>
      <c r="F7">
        <v>100</v>
      </c>
      <c r="G7">
        <v>47</v>
      </c>
      <c r="H7">
        <v>29225</v>
      </c>
      <c r="I7">
        <v>4120</v>
      </c>
      <c r="J7">
        <v>5948</v>
      </c>
      <c r="K7" s="12">
        <v>1.82799999999999E-9</v>
      </c>
      <c r="L7">
        <v>20</v>
      </c>
      <c r="M7">
        <v>2</v>
      </c>
      <c r="N7" t="s">
        <v>120</v>
      </c>
      <c r="O7">
        <v>8</v>
      </c>
      <c r="P7">
        <v>0.08</v>
      </c>
      <c r="Q7">
        <v>46.926030081001301</v>
      </c>
      <c r="R7">
        <v>1706</v>
      </c>
      <c r="S7">
        <v>750</v>
      </c>
      <c r="T7">
        <v>1535</v>
      </c>
      <c r="U7">
        <v>20.335338345864599</v>
      </c>
      <c r="V7">
        <v>771</v>
      </c>
      <c r="W7">
        <v>3387</v>
      </c>
      <c r="X7">
        <v>2616</v>
      </c>
      <c r="Y7">
        <f t="shared" si="0"/>
        <v>0.23046033302453728</v>
      </c>
      <c r="Z7">
        <f t="shared" si="1"/>
        <v>0.22445411789993047</v>
      </c>
      <c r="AA7">
        <f t="shared" si="2"/>
        <v>-0.27750315551813942</v>
      </c>
      <c r="AB7">
        <f t="shared" si="3"/>
        <v>-0.17832557729455167</v>
      </c>
      <c r="AD7">
        <f t="shared" si="4"/>
        <v>0.1872083300935557</v>
      </c>
      <c r="AE7">
        <f t="shared" si="5"/>
        <v>0.18157498037110131</v>
      </c>
      <c r="AW7">
        <f t="shared" si="6"/>
        <v>0.10798003381647851</v>
      </c>
      <c r="AX7">
        <f t="shared" si="7"/>
        <v>5.2636095516938305E-2</v>
      </c>
      <c r="AZ7">
        <f t="shared" si="8"/>
        <v>1.8525477520856318E-2</v>
      </c>
      <c r="BA7">
        <f t="shared" si="9"/>
        <v>1.7023720502839273E-2</v>
      </c>
    </row>
    <row r="8" spans="1:61" ht="34" x14ac:dyDescent="0.2">
      <c r="A8" s="13">
        <v>34</v>
      </c>
      <c r="B8" t="s">
        <v>158</v>
      </c>
      <c r="C8" s="11" t="s">
        <v>159</v>
      </c>
      <c r="D8">
        <v>7.0000000000000001E-3</v>
      </c>
      <c r="E8" t="s">
        <v>155</v>
      </c>
      <c r="F8">
        <v>40.9</v>
      </c>
      <c r="G8">
        <v>20</v>
      </c>
      <c r="H8">
        <v>29225</v>
      </c>
      <c r="I8">
        <v>4120</v>
      </c>
      <c r="J8">
        <v>5313</v>
      </c>
      <c r="K8" s="12">
        <v>1.1929999999999999E-9</v>
      </c>
      <c r="L8">
        <v>20</v>
      </c>
      <c r="M8">
        <v>2</v>
      </c>
      <c r="N8" t="s">
        <v>120</v>
      </c>
      <c r="O8">
        <v>8</v>
      </c>
      <c r="P8">
        <v>0.08</v>
      </c>
      <c r="Q8">
        <v>19.986756396593702</v>
      </c>
      <c r="R8">
        <v>1718</v>
      </c>
      <c r="S8">
        <v>1142</v>
      </c>
      <c r="T8">
        <v>1542</v>
      </c>
      <c r="U8">
        <v>28.878195488721801</v>
      </c>
      <c r="V8">
        <v>1142</v>
      </c>
      <c r="W8">
        <v>3862</v>
      </c>
      <c r="X8">
        <v>2720</v>
      </c>
      <c r="Y8">
        <f t="shared" si="0"/>
        <v>4.2099191268142627E-2</v>
      </c>
      <c r="Z8">
        <f t="shared" si="1"/>
        <v>4.5566210663234186E-2</v>
      </c>
      <c r="AA8">
        <f t="shared" si="2"/>
        <v>-0.12864944446606413</v>
      </c>
      <c r="AB8">
        <f t="shared" si="3"/>
        <v>-8.5829127548648576E-2</v>
      </c>
      <c r="AD8">
        <f t="shared" si="4"/>
        <v>6.1321729723267479E-2</v>
      </c>
      <c r="AE8">
        <f t="shared" si="5"/>
        <v>0.2214669162847609</v>
      </c>
      <c r="AW8">
        <f t="shared" si="6"/>
        <v>1.840077178395182E-2</v>
      </c>
      <c r="AX8">
        <f t="shared" si="7"/>
        <v>8.6172469214432675E-3</v>
      </c>
      <c r="AZ8">
        <f t="shared" si="8"/>
        <v>2.9508503201277217E-3</v>
      </c>
      <c r="BA8">
        <f t="shared" si="9"/>
        <v>4.5996058180694632E-2</v>
      </c>
    </row>
    <row r="9" spans="1:61" ht="34" x14ac:dyDescent="0.2">
      <c r="A9" s="13">
        <v>35</v>
      </c>
      <c r="B9" t="s">
        <v>156</v>
      </c>
      <c r="C9" s="11" t="s">
        <v>157</v>
      </c>
      <c r="D9">
        <v>7.3499999999999998E-3</v>
      </c>
      <c r="E9" t="s">
        <v>155</v>
      </c>
      <c r="F9">
        <v>100</v>
      </c>
      <c r="G9">
        <v>46.2</v>
      </c>
      <c r="H9">
        <v>29225</v>
      </c>
      <c r="I9">
        <v>4120</v>
      </c>
      <c r="J9">
        <v>5932</v>
      </c>
      <c r="K9" s="12">
        <v>1.8119999999999999E-9</v>
      </c>
      <c r="L9">
        <v>20</v>
      </c>
      <c r="M9">
        <v>2</v>
      </c>
      <c r="N9" t="s">
        <v>120</v>
      </c>
      <c r="O9">
        <v>8</v>
      </c>
      <c r="P9">
        <v>0.08</v>
      </c>
      <c r="Q9">
        <v>46.108162868350803</v>
      </c>
      <c r="R9">
        <v>1694</v>
      </c>
      <c r="S9">
        <v>770</v>
      </c>
      <c r="T9">
        <v>1534</v>
      </c>
      <c r="U9">
        <v>22.771428571428501</v>
      </c>
      <c r="V9">
        <v>803</v>
      </c>
      <c r="W9">
        <v>3811</v>
      </c>
      <c r="X9">
        <v>3008</v>
      </c>
      <c r="Y9">
        <f t="shared" si="0"/>
        <v>0.25558250124398468</v>
      </c>
      <c r="Z9">
        <f t="shared" si="1"/>
        <v>0.27081095889310641</v>
      </c>
      <c r="AA9">
        <f t="shared" si="2"/>
        <v>-0.29735612484222401</v>
      </c>
      <c r="AB9">
        <f t="shared" si="3"/>
        <v>-0.20229501871481853</v>
      </c>
      <c r="AD9">
        <f t="shared" si="4"/>
        <v>0.23226797825664935</v>
      </c>
      <c r="AE9">
        <f t="shared" si="5"/>
        <v>2.9508741218526868E-3</v>
      </c>
      <c r="AW9">
        <f t="shared" si="6"/>
        <v>9.2845822516365015E-2</v>
      </c>
      <c r="AX9">
        <f t="shared" si="7"/>
        <v>4.3951033871936607E-2</v>
      </c>
      <c r="AZ9">
        <f t="shared" si="8"/>
        <v>5.0588096943058596E-2</v>
      </c>
      <c r="BA9">
        <f t="shared" si="9"/>
        <v>1.9352308491785367E-5</v>
      </c>
    </row>
    <row r="10" spans="1:61" ht="34" x14ac:dyDescent="0.2">
      <c r="A10" s="13">
        <v>36</v>
      </c>
      <c r="B10" t="s">
        <v>153</v>
      </c>
      <c r="C10" s="11" t="s">
        <v>154</v>
      </c>
      <c r="D10">
        <v>0</v>
      </c>
      <c r="E10" t="s">
        <v>155</v>
      </c>
      <c r="F10">
        <v>0</v>
      </c>
      <c r="G10">
        <v>1.9</v>
      </c>
      <c r="H10">
        <v>29225</v>
      </c>
      <c r="I10">
        <v>4100</v>
      </c>
      <c r="J10">
        <v>4467</v>
      </c>
      <c r="K10" s="12">
        <v>3.6700000000000003E-10</v>
      </c>
      <c r="L10">
        <v>20</v>
      </c>
      <c r="M10">
        <v>2</v>
      </c>
      <c r="N10" t="s">
        <v>120</v>
      </c>
      <c r="O10">
        <v>8</v>
      </c>
      <c r="P10">
        <v>0.08</v>
      </c>
      <c r="Q10">
        <v>1.8914443167013</v>
      </c>
      <c r="R10">
        <v>1702</v>
      </c>
      <c r="S10">
        <v>1579</v>
      </c>
      <c r="T10">
        <v>1579</v>
      </c>
      <c r="U10">
        <v>39.924060150375901</v>
      </c>
      <c r="V10">
        <v>1775</v>
      </c>
      <c r="W10">
        <v>4031</v>
      </c>
      <c r="X10">
        <v>2256</v>
      </c>
      <c r="Y10">
        <f t="shared" si="0"/>
        <v>-0.106857783880661</v>
      </c>
      <c r="Z10">
        <f t="shared" si="1"/>
        <v>-9.5400335018415772E-2</v>
      </c>
      <c r="AA10">
        <f t="shared" si="2"/>
        <v>-1.0935151957331064E-2</v>
      </c>
      <c r="AB10">
        <f t="shared" si="3"/>
        <v>-1.2940438704836426E-2</v>
      </c>
      <c r="AD10">
        <f t="shared" si="4"/>
        <v>1.5828396821553563E-2</v>
      </c>
      <c r="AE10">
        <f t="shared" si="5"/>
        <v>0.48482851476559907</v>
      </c>
      <c r="AW10">
        <f t="shared" si="6"/>
        <v>1.195775483299214E-4</v>
      </c>
      <c r="AX10">
        <f t="shared" si="7"/>
        <v>1.6745495387362862E-4</v>
      </c>
      <c r="AZ10">
        <f t="shared" si="8"/>
        <v>2.5053814594056694E-4</v>
      </c>
      <c r="BA10">
        <f t="shared" si="9"/>
        <v>0.23505868872981672</v>
      </c>
    </row>
    <row r="11" spans="1:61" ht="34" x14ac:dyDescent="0.2">
      <c r="A11" s="13">
        <v>56</v>
      </c>
      <c r="B11" t="s">
        <v>280</v>
      </c>
      <c r="C11" s="11" t="s">
        <v>281</v>
      </c>
      <c r="D11">
        <v>1.7999999999999999E-2</v>
      </c>
      <c r="E11" t="s">
        <v>282</v>
      </c>
      <c r="F11">
        <v>42.1</v>
      </c>
      <c r="G11">
        <v>20.6</v>
      </c>
      <c r="H11">
        <v>29285</v>
      </c>
      <c r="I11">
        <v>4100</v>
      </c>
      <c r="J11">
        <v>5310</v>
      </c>
      <c r="K11" s="12">
        <v>1.20999999999999E-9</v>
      </c>
      <c r="L11">
        <v>20</v>
      </c>
      <c r="M11">
        <v>2</v>
      </c>
      <c r="N11" t="s">
        <v>120</v>
      </c>
      <c r="O11">
        <v>8</v>
      </c>
      <c r="P11">
        <v>0.08</v>
      </c>
      <c r="Q11">
        <v>20.560429018571401</v>
      </c>
      <c r="R11">
        <v>1710</v>
      </c>
      <c r="S11">
        <v>1118</v>
      </c>
      <c r="T11">
        <v>1531</v>
      </c>
      <c r="U11">
        <v>26.034586466165401</v>
      </c>
      <c r="V11">
        <v>1122</v>
      </c>
      <c r="W11">
        <v>3579</v>
      </c>
      <c r="X11">
        <v>2457</v>
      </c>
      <c r="Y11">
        <f t="shared" si="0"/>
        <v>2.843315686302525E-2</v>
      </c>
      <c r="Z11">
        <f t="shared" si="1"/>
        <v>2.1623223899013916E-2</v>
      </c>
      <c r="AA11">
        <f t="shared" si="2"/>
        <v>-0.11784976509696199</v>
      </c>
      <c r="AB11">
        <f t="shared" si="3"/>
        <v>-7.3449077347305394E-2</v>
      </c>
      <c r="AD11">
        <f t="shared" si="4"/>
        <v>5.0257280390652234E-2</v>
      </c>
      <c r="AE11">
        <f t="shared" si="5"/>
        <v>0.2864726592135316</v>
      </c>
      <c r="AW11">
        <f t="shared" si="6"/>
        <v>1.8455158676899747E-2</v>
      </c>
      <c r="AX11">
        <f t="shared" si="7"/>
        <v>8.3629337476734452E-3</v>
      </c>
      <c r="AZ11">
        <f t="shared" si="8"/>
        <v>1.0405321382011569E-3</v>
      </c>
      <c r="BA11">
        <f t="shared" si="9"/>
        <v>7.2077568745185061E-2</v>
      </c>
    </row>
    <row r="12" spans="1:61" ht="34" x14ac:dyDescent="0.2">
      <c r="A12" s="13">
        <v>57</v>
      </c>
      <c r="B12" t="s">
        <v>283</v>
      </c>
      <c r="C12" s="11" t="s">
        <v>284</v>
      </c>
      <c r="D12">
        <v>0.59199999999999997</v>
      </c>
      <c r="E12" t="s">
        <v>282</v>
      </c>
      <c r="F12">
        <v>100</v>
      </c>
      <c r="G12">
        <v>46.1</v>
      </c>
      <c r="H12">
        <v>29285</v>
      </c>
      <c r="I12">
        <v>4100</v>
      </c>
      <c r="J12">
        <v>5911</v>
      </c>
      <c r="K12" s="12">
        <v>1.8109999999999899E-9</v>
      </c>
      <c r="L12">
        <v>20</v>
      </c>
      <c r="M12">
        <v>2</v>
      </c>
      <c r="N12" t="s">
        <v>120</v>
      </c>
      <c r="O12">
        <v>8</v>
      </c>
      <c r="P12">
        <v>0.08</v>
      </c>
      <c r="Q12">
        <v>46.0572848994045</v>
      </c>
      <c r="R12">
        <v>1703</v>
      </c>
      <c r="S12">
        <v>567</v>
      </c>
      <c r="T12">
        <v>1530</v>
      </c>
      <c r="U12">
        <v>8.3984962406014994</v>
      </c>
      <c r="V12">
        <v>579</v>
      </c>
      <c r="W12">
        <v>3302</v>
      </c>
      <c r="X12">
        <v>2723</v>
      </c>
      <c r="Y12">
        <f t="shared" si="0"/>
        <v>0.32015992257171055</v>
      </c>
      <c r="Z12">
        <f t="shared" si="1"/>
        <v>0.33299852517289291</v>
      </c>
      <c r="AA12">
        <f t="shared" si="2"/>
        <v>-0.34838888417449271</v>
      </c>
      <c r="AB12">
        <f t="shared" si="3"/>
        <v>-0.23444995410465086</v>
      </c>
      <c r="AD12">
        <f t="shared" si="4"/>
        <v>0.30075573584940285</v>
      </c>
      <c r="AE12">
        <f t="shared" si="5"/>
        <v>-0.17375854111905409</v>
      </c>
      <c r="AW12">
        <f t="shared" si="6"/>
        <v>0.88433125347894748</v>
      </c>
      <c r="AX12">
        <f t="shared" si="7"/>
        <v>0.68301952663957943</v>
      </c>
      <c r="AZ12">
        <f t="shared" si="8"/>
        <v>8.4823221400622789E-2</v>
      </c>
      <c r="BA12">
        <f t="shared" si="9"/>
        <v>0.58638614329678196</v>
      </c>
    </row>
    <row r="13" spans="1:61" ht="34" x14ac:dyDescent="0.2">
      <c r="A13" s="13">
        <v>58</v>
      </c>
      <c r="B13" t="s">
        <v>285</v>
      </c>
      <c r="C13" s="11" t="s">
        <v>286</v>
      </c>
      <c r="D13">
        <v>0.316</v>
      </c>
      <c r="E13" t="s">
        <v>282</v>
      </c>
      <c r="F13">
        <v>100</v>
      </c>
      <c r="G13">
        <v>45</v>
      </c>
      <c r="H13">
        <v>29285</v>
      </c>
      <c r="I13">
        <v>4120</v>
      </c>
      <c r="J13">
        <v>5908</v>
      </c>
      <c r="K13" s="12">
        <v>1.788E-9</v>
      </c>
      <c r="L13">
        <v>20</v>
      </c>
      <c r="M13">
        <v>2</v>
      </c>
      <c r="N13" t="s">
        <v>120</v>
      </c>
      <c r="O13">
        <v>8</v>
      </c>
      <c r="P13">
        <v>0.08</v>
      </c>
      <c r="Q13">
        <v>44.894843377056198</v>
      </c>
      <c r="R13">
        <v>1711</v>
      </c>
      <c r="S13">
        <v>638</v>
      </c>
      <c r="T13">
        <v>1515</v>
      </c>
      <c r="U13">
        <v>12.2842105263157</v>
      </c>
      <c r="V13">
        <v>646</v>
      </c>
      <c r="W13">
        <v>3251</v>
      </c>
      <c r="X13">
        <v>2605</v>
      </c>
      <c r="Y13">
        <f t="shared" si="0"/>
        <v>0.27132216588569452</v>
      </c>
      <c r="Z13">
        <f t="shared" si="1"/>
        <v>0.27096488989150452</v>
      </c>
      <c r="AA13">
        <f t="shared" si="2"/>
        <v>-0.30979450502396927</v>
      </c>
      <c r="AB13">
        <f t="shared" si="3"/>
        <v>-0.20237461085202671</v>
      </c>
      <c r="AD13">
        <f t="shared" si="4"/>
        <v>0.23242612979129706</v>
      </c>
      <c r="AE13">
        <f t="shared" si="5"/>
        <v>-8.6214367585788487E-3</v>
      </c>
      <c r="AW13">
        <f t="shared" si="6"/>
        <v>0.39161876251819472</v>
      </c>
      <c r="AX13">
        <f t="shared" si="7"/>
        <v>0.26871223717599013</v>
      </c>
      <c r="AZ13">
        <f t="shared" si="8"/>
        <v>6.9845917816611248E-3</v>
      </c>
      <c r="BA13">
        <f t="shared" si="9"/>
        <v>0.10537907720320401</v>
      </c>
    </row>
    <row r="14" spans="1:61" ht="34" x14ac:dyDescent="0.2">
      <c r="A14" s="13">
        <v>59</v>
      </c>
      <c r="B14" t="s">
        <v>287</v>
      </c>
      <c r="C14" s="11" t="s">
        <v>288</v>
      </c>
      <c r="D14">
        <v>0.106</v>
      </c>
      <c r="E14" t="s">
        <v>282</v>
      </c>
      <c r="F14">
        <v>41.5</v>
      </c>
      <c r="G14">
        <v>20.3</v>
      </c>
      <c r="H14">
        <v>29285</v>
      </c>
      <c r="I14">
        <v>4080</v>
      </c>
      <c r="J14">
        <v>5282</v>
      </c>
      <c r="K14" s="12">
        <v>1.2019999999999901E-9</v>
      </c>
      <c r="L14">
        <v>20</v>
      </c>
      <c r="M14">
        <v>2</v>
      </c>
      <c r="N14" t="s">
        <v>120</v>
      </c>
      <c r="O14">
        <v>8</v>
      </c>
      <c r="P14">
        <v>0.08</v>
      </c>
      <c r="Q14">
        <v>20.289454332182299</v>
      </c>
      <c r="R14">
        <v>1698</v>
      </c>
      <c r="S14">
        <v>1031</v>
      </c>
      <c r="T14">
        <v>1551</v>
      </c>
      <c r="U14">
        <v>14.976691729323299</v>
      </c>
      <c r="V14">
        <v>1038</v>
      </c>
      <c r="W14">
        <v>3258</v>
      </c>
      <c r="X14">
        <v>2220</v>
      </c>
      <c r="Y14">
        <f t="shared" si="0"/>
        <v>2.2983628121603455E-2</v>
      </c>
      <c r="Z14">
        <f t="shared" si="1"/>
        <v>4.374971707435199E-3</v>
      </c>
      <c r="AA14">
        <f t="shared" si="2"/>
        <v>-0.1135432368550878</v>
      </c>
      <c r="AB14">
        <f t="shared" si="3"/>
        <v>-6.4530631619545489E-2</v>
      </c>
      <c r="AD14">
        <f t="shared" si="4"/>
        <v>4.3132860310587384E-2</v>
      </c>
      <c r="AE14">
        <f t="shared" si="5"/>
        <v>1.5105075344312935E-2</v>
      </c>
      <c r="AW14">
        <f t="shared" si="6"/>
        <v>4.8199232848809184E-2</v>
      </c>
      <c r="AX14">
        <f t="shared" si="7"/>
        <v>2.9080696320561126E-2</v>
      </c>
      <c r="AZ14">
        <f t="shared" si="8"/>
        <v>3.9522772527281185E-3</v>
      </c>
      <c r="BA14">
        <f t="shared" si="9"/>
        <v>8.261887328163027E-3</v>
      </c>
    </row>
    <row r="15" spans="1:61" ht="34" x14ac:dyDescent="0.2">
      <c r="A15" s="13">
        <v>60</v>
      </c>
      <c r="B15" t="s">
        <v>289</v>
      </c>
      <c r="C15" s="11" t="s">
        <v>290</v>
      </c>
      <c r="D15">
        <v>2.8400000000000002E-2</v>
      </c>
      <c r="E15" t="s">
        <v>282</v>
      </c>
      <c r="F15">
        <v>100</v>
      </c>
      <c r="G15">
        <v>46</v>
      </c>
      <c r="H15">
        <v>29285</v>
      </c>
      <c r="I15">
        <v>4100</v>
      </c>
      <c r="J15">
        <v>5909</v>
      </c>
      <c r="K15" s="12">
        <v>1.8089999999999899E-9</v>
      </c>
      <c r="L15">
        <v>20</v>
      </c>
      <c r="M15">
        <v>2</v>
      </c>
      <c r="N15" t="s">
        <v>120</v>
      </c>
      <c r="O15">
        <v>8</v>
      </c>
      <c r="P15">
        <v>0.08</v>
      </c>
      <c r="Q15">
        <v>45.955613219809898</v>
      </c>
      <c r="R15">
        <v>1702</v>
      </c>
      <c r="S15">
        <v>763</v>
      </c>
      <c r="T15">
        <v>1527</v>
      </c>
      <c r="U15">
        <v>21.3473684210526</v>
      </c>
      <c r="V15">
        <v>786</v>
      </c>
      <c r="W15">
        <v>3555</v>
      </c>
      <c r="X15">
        <v>2769</v>
      </c>
      <c r="Y15">
        <f t="shared" si="0"/>
        <v>0.23749732147535363</v>
      </c>
      <c r="Z15">
        <f t="shared" si="1"/>
        <v>0.23999396477305185</v>
      </c>
      <c r="AA15">
        <f t="shared" si="2"/>
        <v>-0.28306418490969676</v>
      </c>
      <c r="AB15">
        <f t="shared" si="3"/>
        <v>-0.18636066858474618</v>
      </c>
      <c r="AD15">
        <f t="shared" si="4"/>
        <v>0.20174289930939068</v>
      </c>
      <c r="AE15">
        <f t="shared" si="5"/>
        <v>0.11513857382368808</v>
      </c>
      <c r="AW15">
        <f t="shared" si="6"/>
        <v>9.7009938481461763E-2</v>
      </c>
      <c r="AX15">
        <f t="shared" si="7"/>
        <v>4.612214477096719E-2</v>
      </c>
      <c r="AZ15">
        <f t="shared" si="8"/>
        <v>3.0047760740985554E-2</v>
      </c>
      <c r="BA15">
        <f t="shared" si="9"/>
        <v>7.5235801889673862E-3</v>
      </c>
    </row>
    <row r="16" spans="1:61" ht="34" x14ac:dyDescent="0.2">
      <c r="A16" s="13">
        <v>119</v>
      </c>
      <c r="B16" t="s">
        <v>356</v>
      </c>
      <c r="C16" s="11" t="s">
        <v>344</v>
      </c>
      <c r="D16">
        <v>0.24099999999999999</v>
      </c>
      <c r="E16" t="s">
        <v>345</v>
      </c>
      <c r="F16">
        <v>100</v>
      </c>
      <c r="G16">
        <v>46.4</v>
      </c>
      <c r="H16">
        <v>29285</v>
      </c>
      <c r="I16">
        <v>4100</v>
      </c>
      <c r="J16">
        <v>5917</v>
      </c>
      <c r="K16" s="12">
        <v>1.8169999999999899E-9</v>
      </c>
      <c r="L16">
        <v>20</v>
      </c>
      <c r="M16">
        <v>2</v>
      </c>
      <c r="N16" t="s">
        <v>120</v>
      </c>
      <c r="O16">
        <v>8</v>
      </c>
      <c r="P16">
        <v>0.08</v>
      </c>
      <c r="Q16">
        <v>46.362974004572401</v>
      </c>
      <c r="R16">
        <v>1706</v>
      </c>
      <c r="S16">
        <v>670</v>
      </c>
      <c r="T16">
        <v>1539</v>
      </c>
      <c r="U16">
        <v>14.2127819548872</v>
      </c>
      <c r="V16">
        <v>679</v>
      </c>
      <c r="W16">
        <v>3235</v>
      </c>
      <c r="X16">
        <v>2556</v>
      </c>
      <c r="Y16">
        <f t="shared" si="0"/>
        <v>0.25802121172582665</v>
      </c>
      <c r="Z16">
        <f t="shared" si="1"/>
        <v>0.25279378100039784</v>
      </c>
      <c r="AA16">
        <f t="shared" si="2"/>
        <v>-0.29928333287472392</v>
      </c>
      <c r="AB16">
        <f t="shared" si="3"/>
        <v>-0.19297898939087521</v>
      </c>
      <c r="AD16">
        <f t="shared" si="4"/>
        <v>0.2141467707068353</v>
      </c>
      <c r="AE16">
        <f t="shared" si="5"/>
        <v>5.7408887185228075E-2</v>
      </c>
      <c r="AW16">
        <f t="shared" si="6"/>
        <v>0.29190607978221966</v>
      </c>
      <c r="AX16">
        <f t="shared" si="7"/>
        <v>0.18833776323272536</v>
      </c>
      <c r="AZ16">
        <f t="shared" si="8"/>
        <v>7.2109592347127834E-4</v>
      </c>
      <c r="BA16">
        <f t="shared" si="9"/>
        <v>3.3705696704566308E-2</v>
      </c>
    </row>
    <row r="17" spans="1:53" ht="34" x14ac:dyDescent="0.2">
      <c r="A17" s="13">
        <v>120</v>
      </c>
      <c r="B17" t="s">
        <v>357</v>
      </c>
      <c r="C17" s="11" t="s">
        <v>347</v>
      </c>
      <c r="D17">
        <v>0.28199999999999997</v>
      </c>
      <c r="E17" t="s">
        <v>345</v>
      </c>
      <c r="F17">
        <v>100</v>
      </c>
      <c r="G17">
        <v>46.2</v>
      </c>
      <c r="H17">
        <v>29285</v>
      </c>
      <c r="I17">
        <v>4120</v>
      </c>
      <c r="J17">
        <v>5932</v>
      </c>
      <c r="K17" s="12">
        <v>1.8119999999999999E-9</v>
      </c>
      <c r="L17">
        <v>20</v>
      </c>
      <c r="M17">
        <v>2</v>
      </c>
      <c r="N17" t="s">
        <v>120</v>
      </c>
      <c r="O17">
        <v>8</v>
      </c>
      <c r="P17">
        <v>0.08</v>
      </c>
      <c r="Q17">
        <v>46.108162868350803</v>
      </c>
      <c r="R17">
        <v>1695</v>
      </c>
      <c r="S17">
        <v>654</v>
      </c>
      <c r="T17">
        <v>1522</v>
      </c>
      <c r="U17">
        <v>12.9255639097744</v>
      </c>
      <c r="V17">
        <v>666</v>
      </c>
      <c r="W17">
        <v>3246</v>
      </c>
      <c r="X17">
        <v>2580</v>
      </c>
      <c r="Y17">
        <f t="shared" si="0"/>
        <v>0.26514960507487989</v>
      </c>
      <c r="Z17">
        <f>AB17*$AO$2+$AP$2</f>
        <v>0.26287909649499597</v>
      </c>
      <c r="AA17">
        <f t="shared" si="2"/>
        <v>-0.30491659562706908</v>
      </c>
      <c r="AB17">
        <f t="shared" si="3"/>
        <v>-0.19819374030516346</v>
      </c>
      <c r="AD17">
        <f t="shared" si="4"/>
        <v>0.22419503180914024</v>
      </c>
      <c r="AE17">
        <f t="shared" si="5"/>
        <v>-4.4697702970801778E-3</v>
      </c>
      <c r="AW17">
        <f t="shared" si="6"/>
        <v>0.34447109022246841</v>
      </c>
      <c r="AX17">
        <f t="shared" si="7"/>
        <v>0.23058602822826274</v>
      </c>
      <c r="AZ17">
        <f t="shared" si="8"/>
        <v>3.3414143475463051E-3</v>
      </c>
      <c r="BA17">
        <f t="shared" si="9"/>
        <v>8.2064929294061867E-2</v>
      </c>
    </row>
    <row r="18" spans="1:53" ht="34" x14ac:dyDescent="0.2">
      <c r="A18" s="13">
        <v>121</v>
      </c>
      <c r="B18" t="s">
        <v>358</v>
      </c>
      <c r="C18" s="11" t="s">
        <v>349</v>
      </c>
      <c r="D18">
        <v>0.25800000000000001</v>
      </c>
      <c r="E18" t="s">
        <v>345</v>
      </c>
      <c r="F18">
        <v>100</v>
      </c>
      <c r="G18">
        <v>45.4</v>
      </c>
      <c r="H18">
        <v>29285</v>
      </c>
      <c r="I18">
        <v>4100</v>
      </c>
      <c r="J18">
        <v>5897</v>
      </c>
      <c r="K18" s="12">
        <v>1.79699999999999E-9</v>
      </c>
      <c r="L18">
        <v>20</v>
      </c>
      <c r="M18">
        <v>2</v>
      </c>
      <c r="N18" t="s">
        <v>120</v>
      </c>
      <c r="O18">
        <v>8</v>
      </c>
      <c r="P18">
        <v>0.08</v>
      </c>
      <c r="Q18">
        <v>45.347942374586502</v>
      </c>
      <c r="R18">
        <v>1706</v>
      </c>
      <c r="S18">
        <v>667</v>
      </c>
      <c r="T18">
        <v>1546</v>
      </c>
      <c r="U18">
        <v>13.3406015037594</v>
      </c>
      <c r="V18">
        <v>670</v>
      </c>
      <c r="W18">
        <v>3242</v>
      </c>
      <c r="X18">
        <v>2572</v>
      </c>
      <c r="Y18">
        <f t="shared" si="0"/>
        <v>0.25938607835360539</v>
      </c>
      <c r="Z18">
        <f t="shared" si="1"/>
        <v>0.25572636951476402</v>
      </c>
      <c r="AA18">
        <f t="shared" si="2"/>
        <v>-0.30036192828321184</v>
      </c>
      <c r="AB18">
        <f t="shared" si="3"/>
        <v>-0.19449532456598334</v>
      </c>
      <c r="AD18">
        <f t="shared" si="4"/>
        <v>0.21704359912559212</v>
      </c>
      <c r="AE18">
        <f t="shared" si="5"/>
        <v>2.3268417573280686E-2</v>
      </c>
      <c r="AW18">
        <f t="shared" si="6"/>
        <v>0.31176804295614663</v>
      </c>
      <c r="AX18">
        <f t="shared" si="7"/>
        <v>0.20475201875407462</v>
      </c>
      <c r="AZ18">
        <f t="shared" si="8"/>
        <v>1.6774267725851988E-3</v>
      </c>
      <c r="BA18">
        <f t="shared" si="9"/>
        <v>5.5098915788551729E-2</v>
      </c>
    </row>
    <row r="19" spans="1:53" ht="34" x14ac:dyDescent="0.2">
      <c r="A19" s="13">
        <v>122</v>
      </c>
      <c r="B19" t="s">
        <v>359</v>
      </c>
      <c r="C19" s="11" t="s">
        <v>351</v>
      </c>
      <c r="D19">
        <v>0.15670000000000001</v>
      </c>
      <c r="E19" t="s">
        <v>345</v>
      </c>
      <c r="F19">
        <v>100</v>
      </c>
      <c r="G19">
        <v>44.9</v>
      </c>
      <c r="H19">
        <v>29285</v>
      </c>
      <c r="I19">
        <v>4120</v>
      </c>
      <c r="J19">
        <v>5907</v>
      </c>
      <c r="K19" s="12">
        <v>1.7869999999999999E-9</v>
      </c>
      <c r="L19">
        <v>20</v>
      </c>
      <c r="M19">
        <v>2</v>
      </c>
      <c r="N19" t="s">
        <v>120</v>
      </c>
      <c r="O19">
        <v>8</v>
      </c>
      <c r="P19">
        <v>0.08</v>
      </c>
      <c r="Q19">
        <v>44.844639474493903</v>
      </c>
      <c r="R19">
        <v>1699</v>
      </c>
      <c r="S19">
        <v>698</v>
      </c>
      <c r="T19">
        <v>1514</v>
      </c>
      <c r="U19">
        <v>16.481203007518701</v>
      </c>
      <c r="V19">
        <v>710</v>
      </c>
      <c r="W19">
        <v>3210</v>
      </c>
      <c r="X19">
        <v>2500</v>
      </c>
      <c r="AW19">
        <f t="shared" si="6"/>
        <v>2.4554890000000003E-2</v>
      </c>
      <c r="AX19">
        <f t="shared" si="7"/>
        <v>2.4554890000000003E-2</v>
      </c>
      <c r="AZ19">
        <f t="shared" si="8"/>
        <v>2.4554890000000003E-2</v>
      </c>
      <c r="BA19">
        <f t="shared" si="9"/>
        <v>2.4554890000000003E-2</v>
      </c>
    </row>
    <row r="22" spans="1:53" x14ac:dyDescent="0.2">
      <c r="AD22" t="s">
        <v>37</v>
      </c>
      <c r="AE22" s="14" t="s">
        <v>37</v>
      </c>
    </row>
    <row r="23" spans="1:53" x14ac:dyDescent="0.2">
      <c r="AD23">
        <f>RSQ(D2:D18,AD2:AD18)</f>
        <v>0.55429041428763615</v>
      </c>
      <c r="AE23" s="14">
        <f>RSQ(D2:D19,AE2:AE19)</f>
        <v>0.66496994238702323</v>
      </c>
    </row>
    <row r="24" spans="1:53" x14ac:dyDescent="0.2">
      <c r="AE24" s="14"/>
    </row>
    <row r="25" spans="1:53" x14ac:dyDescent="0.2">
      <c r="AD25" t="s">
        <v>403</v>
      </c>
      <c r="AE25" s="14" t="s">
        <v>403</v>
      </c>
    </row>
    <row r="26" spans="1:53" x14ac:dyDescent="0.2">
      <c r="AD26">
        <f>AVERAGE(AZ2:AZ19)^0.5</f>
        <v>0.13325926114733422</v>
      </c>
      <c r="AE26" s="14">
        <f>AVERAGE(BA2:BA19)^0.5</f>
        <v>0.34348959855351774</v>
      </c>
    </row>
    <row r="27" spans="1:53" x14ac:dyDescent="0.2">
      <c r="AE27" s="14"/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5168-BC5D-3044-ACBB-47C97F23E6FD}">
  <dimension ref="A1:AZ19"/>
  <sheetViews>
    <sheetView zoomScale="120" zoomScaleNormal="120" workbookViewId="0">
      <selection sqref="A1:X19"/>
    </sheetView>
  </sheetViews>
  <sheetFormatPr baseColWidth="10" defaultRowHeight="16" x14ac:dyDescent="0.2"/>
  <cols>
    <col min="27" max="27" width="12.6640625" customWidth="1"/>
    <col min="28" max="28" width="14.1640625" customWidth="1"/>
    <col min="35" max="35" width="12.6640625" customWidth="1"/>
    <col min="52" max="52" width="11.1640625" bestFit="1" customWidth="1"/>
  </cols>
  <sheetData>
    <row r="1" spans="1:52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</row>
    <row r="2" spans="1:52" ht="34" x14ac:dyDescent="0.2">
      <c r="A2" s="13">
        <v>28</v>
      </c>
      <c r="B2" t="s">
        <v>170</v>
      </c>
      <c r="C2" s="11" t="s">
        <v>171</v>
      </c>
      <c r="D2">
        <v>0.437</v>
      </c>
      <c r="E2" t="s">
        <v>155</v>
      </c>
      <c r="F2">
        <v>100</v>
      </c>
      <c r="G2">
        <v>45.4</v>
      </c>
      <c r="H2">
        <v>29225</v>
      </c>
      <c r="I2">
        <v>4140</v>
      </c>
      <c r="J2">
        <v>5936</v>
      </c>
      <c r="K2" s="12">
        <v>1.796E-9</v>
      </c>
      <c r="L2">
        <v>20</v>
      </c>
      <c r="M2">
        <v>2</v>
      </c>
      <c r="N2" t="s">
        <v>120</v>
      </c>
      <c r="O2">
        <v>8</v>
      </c>
      <c r="P2">
        <v>0.08</v>
      </c>
      <c r="Q2">
        <v>45.297485697130199</v>
      </c>
      <c r="R2">
        <v>1703</v>
      </c>
      <c r="S2">
        <v>603</v>
      </c>
      <c r="T2">
        <v>1527</v>
      </c>
      <c r="U2">
        <v>10.1458646616541</v>
      </c>
      <c r="V2">
        <v>615</v>
      </c>
      <c r="W2">
        <v>3283</v>
      </c>
      <c r="X2">
        <v>2668</v>
      </c>
      <c r="Y2">
        <f>AA2*$AM$2+$AN$2</f>
        <v>0.28861425584281186</v>
      </c>
      <c r="Z2">
        <f>AB2*$AO$2+$AP$2</f>
        <v>0.2956734621777567</v>
      </c>
      <c r="AA2">
        <f>((Q2^0.5)/(120*3.1415*P2))*LN($AI$2*V2/X2)</f>
        <v>-0.32748820013974217</v>
      </c>
      <c r="AB2">
        <f>((Q2^0.5)/(120*3.14*P2))*LN((V2*($AJ$2*R2-V2))/(R2*X2))</f>
        <v>-0.21734588224468002</v>
      </c>
      <c r="AC2">
        <f>$AS$2*AA2^2+$AT$2*AA2+$AU$2</f>
        <v>4.3340764683114021E-2</v>
      </c>
      <c r="AD2">
        <f>$AS$3*AB2^2+$AT$3*AB2+$AU$3</f>
        <v>4.853612099744212</v>
      </c>
      <c r="AH2" t="s">
        <v>376</v>
      </c>
      <c r="AI2">
        <v>1</v>
      </c>
      <c r="AJ2">
        <v>2</v>
      </c>
      <c r="AK2">
        <f>RSQ(AA2:AA115,D2:D115)</f>
        <v>0.43022477013306054</v>
      </c>
      <c r="AL2">
        <f>RSQ(AB2:AB115,D2:D115)</f>
        <v>0.44584910901268276</v>
      </c>
      <c r="AM2">
        <f>SLOPE(D2:D19,AA2:AA19)</f>
        <v>-1.2534623602872053</v>
      </c>
      <c r="AN2">
        <f>INTERCEPT(D2:D19,AA2:AA19)</f>
        <v>-0.12187987647055801</v>
      </c>
      <c r="AO2">
        <f>SLOPE(D2:D19,AB2:AB19)</f>
        <v>-1.923192028096901</v>
      </c>
      <c r="AP2">
        <f>INTERCEPT(D2:D19,AB2:AB19)</f>
        <v>-0.12232440589489971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0.58444220815290249</v>
      </c>
      <c r="AX2">
        <f>(AB2-D2)^2</f>
        <v>0.42816853361056867</v>
      </c>
      <c r="AZ2">
        <f>(AD2-D2)^2</f>
        <v>19.506462439606974</v>
      </c>
    </row>
    <row r="3" spans="1:52" ht="34" x14ac:dyDescent="0.2">
      <c r="A3" s="13">
        <v>29</v>
      </c>
      <c r="B3" t="s">
        <v>168</v>
      </c>
      <c r="C3" s="11" t="s">
        <v>169</v>
      </c>
      <c r="D3">
        <v>0.42399999999999999</v>
      </c>
      <c r="E3" t="s">
        <v>155</v>
      </c>
      <c r="F3">
        <v>100</v>
      </c>
      <c r="G3">
        <v>45.5</v>
      </c>
      <c r="H3">
        <v>29225</v>
      </c>
      <c r="I3">
        <v>4120</v>
      </c>
      <c r="J3">
        <v>5918</v>
      </c>
      <c r="K3" s="12">
        <v>1.7979999999999901E-9</v>
      </c>
      <c r="L3">
        <v>20</v>
      </c>
      <c r="M3">
        <v>2</v>
      </c>
      <c r="N3" t="s">
        <v>120</v>
      </c>
      <c r="O3">
        <v>8</v>
      </c>
      <c r="P3">
        <v>0.08</v>
      </c>
      <c r="Q3">
        <v>45.398427138142097</v>
      </c>
      <c r="R3">
        <v>1703</v>
      </c>
      <c r="S3">
        <v>607</v>
      </c>
      <c r="T3">
        <v>1531</v>
      </c>
      <c r="U3">
        <v>10.480451127819499</v>
      </c>
      <c r="V3">
        <v>619</v>
      </c>
      <c r="W3">
        <v>3282</v>
      </c>
      <c r="X3">
        <v>2663</v>
      </c>
      <c r="Y3">
        <f t="shared" ref="Y3:Y19" si="0">AA3*$AM$2+$AN$2</f>
        <v>0.2867305526237669</v>
      </c>
      <c r="Z3">
        <f t="shared" ref="Z3:Z19" si="1">AB3*$AO$2+$AP$2</f>
        <v>0.29316221771663808</v>
      </c>
      <c r="AA3">
        <f t="shared" ref="AA3:AA19" si="2">((Q3^0.5)/(120*3.1415*P3))*LN($AI$2*V3/X3)</f>
        <v>-0.32598540015250255</v>
      </c>
      <c r="AB3">
        <f t="shared" ref="AB3:AB19" si="3">((Q3^0.5)/(120*3.14*P3))*LN((V3*($AJ$2*R3-V3))/(R3*X3))</f>
        <v>-0.21604011328119088</v>
      </c>
      <c r="AD3">
        <f>$AS$3*AB3^2+$AT$3*AB3+$AU$3</f>
        <v>4.7919749024713729</v>
      </c>
      <c r="AI3" t="s">
        <v>398</v>
      </c>
      <c r="AJ3" t="s">
        <v>397</v>
      </c>
      <c r="AL3" t="s">
        <v>399</v>
      </c>
      <c r="AR3" t="s">
        <v>227</v>
      </c>
      <c r="AS3">
        <v>116.23</v>
      </c>
      <c r="AT3">
        <v>3.1686999999999999</v>
      </c>
      <c r="AU3">
        <v>5.1700000000000003E-2</v>
      </c>
      <c r="AW3">
        <f t="shared" ref="AW3:AW17" si="4">(AA3-D3)^2</f>
        <v>0.56247810044190938</v>
      </c>
      <c r="AX3">
        <f t="shared" ref="AX3:AX19" si="5">(AB3-D3)^2</f>
        <v>0.40965134660899954</v>
      </c>
      <c r="AZ3">
        <f t="shared" ref="AZ3:AZ19" si="6">(AD3-D3)^2</f>
        <v>19.079204748619798</v>
      </c>
    </row>
    <row r="4" spans="1:52" ht="34" x14ac:dyDescent="0.2">
      <c r="A4" s="13">
        <v>30</v>
      </c>
      <c r="B4" t="s">
        <v>166</v>
      </c>
      <c r="C4" s="11" t="s">
        <v>167</v>
      </c>
      <c r="D4">
        <v>0.41399999999999998</v>
      </c>
      <c r="E4" t="s">
        <v>155</v>
      </c>
      <c r="F4">
        <v>100</v>
      </c>
      <c r="G4">
        <v>45.9</v>
      </c>
      <c r="H4">
        <v>29225</v>
      </c>
      <c r="I4">
        <v>4120</v>
      </c>
      <c r="J4">
        <v>5927</v>
      </c>
      <c r="K4" s="12">
        <v>1.8070000000000001E-9</v>
      </c>
      <c r="L4">
        <v>20</v>
      </c>
      <c r="M4">
        <v>2</v>
      </c>
      <c r="N4" t="s">
        <v>120</v>
      </c>
      <c r="O4">
        <v>8</v>
      </c>
      <c r="P4">
        <v>0.08</v>
      </c>
      <c r="Q4">
        <v>45.854053884612703</v>
      </c>
      <c r="R4">
        <v>1703</v>
      </c>
      <c r="S4">
        <v>610</v>
      </c>
      <c r="T4">
        <v>1539</v>
      </c>
      <c r="U4">
        <v>10.5736842105263</v>
      </c>
      <c r="V4">
        <v>622</v>
      </c>
      <c r="W4">
        <v>3282</v>
      </c>
      <c r="X4">
        <v>2660</v>
      </c>
      <c r="Y4">
        <f t="shared" si="0"/>
        <v>0.28709790755878084</v>
      </c>
      <c r="Z4">
        <f t="shared" si="1"/>
        <v>0.29313151182619268</v>
      </c>
      <c r="AA4">
        <f t="shared" si="2"/>
        <v>-0.32627847232335716</v>
      </c>
      <c r="AB4">
        <f>((Q4^0.5)/(120*3.14*P4))*LN((V4*($AJ$2*R4-V4))/(R4*X4))</f>
        <v>-0.21602414717380444</v>
      </c>
      <c r="AD4">
        <f t="shared" ref="AD4:AD19" si="7">$AS$3*AB4^2+$AT$3*AB4+$AU$3</f>
        <v>4.7912236950593297</v>
      </c>
      <c r="AI4">
        <f>(AVERAGE(AW2:AW19))^0.5</f>
        <v>0.51665116789204246</v>
      </c>
      <c r="AJ4">
        <f>(AVERAGE(AX2:AX19))^0.5</f>
        <v>0.42723380830477253</v>
      </c>
      <c r="AL4">
        <f>(AVERAGE(AZ2:AZ19))^0.5</f>
        <v>3.3643228987580653</v>
      </c>
      <c r="AW4">
        <f>(AA4-D4)^2</f>
        <v>0.54801221658540333</v>
      </c>
      <c r="AX4">
        <f t="shared" si="5"/>
        <v>0.39693042602207956</v>
      </c>
      <c r="AZ4">
        <f>(AD4-D4)^2</f>
        <v>19.160087276588854</v>
      </c>
    </row>
    <row r="5" spans="1:52" ht="34" x14ac:dyDescent="0.2">
      <c r="A5" s="13">
        <v>31</v>
      </c>
      <c r="B5" t="s">
        <v>164</v>
      </c>
      <c r="C5" s="11" t="s">
        <v>165</v>
      </c>
      <c r="D5">
        <v>0.1552</v>
      </c>
      <c r="E5" t="s">
        <v>155</v>
      </c>
      <c r="F5">
        <v>100</v>
      </c>
      <c r="G5">
        <v>45.8</v>
      </c>
      <c r="H5">
        <v>29225</v>
      </c>
      <c r="I5">
        <v>4120</v>
      </c>
      <c r="J5">
        <v>5925</v>
      </c>
      <c r="K5" s="12">
        <v>1.8050000000000001E-9</v>
      </c>
      <c r="L5">
        <v>20</v>
      </c>
      <c r="M5">
        <v>2</v>
      </c>
      <c r="N5" t="s">
        <v>120</v>
      </c>
      <c r="O5">
        <v>8</v>
      </c>
      <c r="P5">
        <v>0.08</v>
      </c>
      <c r="Q5">
        <v>45.752606893812803</v>
      </c>
      <c r="R5">
        <v>1699</v>
      </c>
      <c r="S5">
        <v>702</v>
      </c>
      <c r="T5">
        <v>1534</v>
      </c>
      <c r="U5">
        <v>16.033834586466099</v>
      </c>
      <c r="V5">
        <v>706</v>
      </c>
      <c r="W5">
        <v>3210</v>
      </c>
      <c r="X5">
        <v>2504</v>
      </c>
      <c r="Y5">
        <f t="shared" si="0"/>
        <v>0.23404205202927217</v>
      </c>
      <c r="Z5">
        <f t="shared" si="1"/>
        <v>0.22541093396028669</v>
      </c>
      <c r="AA5">
        <f t="shared" si="2"/>
        <v>-0.28395103018352935</v>
      </c>
      <c r="AB5">
        <f t="shared" si="3"/>
        <v>-0.18081155431955939</v>
      </c>
      <c r="AD5">
        <f t="shared" si="7"/>
        <v>3.2786486843607441</v>
      </c>
      <c r="AW5">
        <f t="shared" si="4"/>
        <v>0.1928536273112551</v>
      </c>
      <c r="AX5">
        <f t="shared" si="5"/>
        <v>0.11290376463624624</v>
      </c>
      <c r="AZ5">
        <f t="shared" si="6"/>
        <v>9.7559316838348611</v>
      </c>
    </row>
    <row r="6" spans="1:52" ht="34" x14ac:dyDescent="0.2">
      <c r="A6" s="13">
        <v>32</v>
      </c>
      <c r="B6" t="s">
        <v>162</v>
      </c>
      <c r="C6" s="11" t="s">
        <v>163</v>
      </c>
      <c r="D6">
        <v>7.9600000000000004E-2</v>
      </c>
      <c r="E6" t="s">
        <v>155</v>
      </c>
      <c r="F6">
        <v>100</v>
      </c>
      <c r="G6">
        <v>44.6</v>
      </c>
      <c r="H6">
        <v>29225</v>
      </c>
      <c r="I6">
        <v>4140</v>
      </c>
      <c r="J6">
        <v>5920</v>
      </c>
      <c r="K6" s="12">
        <v>1.7800000000000001E-9</v>
      </c>
      <c r="L6">
        <v>20</v>
      </c>
      <c r="M6">
        <v>2</v>
      </c>
      <c r="N6" t="s">
        <v>120</v>
      </c>
      <c r="O6">
        <v>8</v>
      </c>
      <c r="P6">
        <v>0.08</v>
      </c>
      <c r="Q6">
        <v>44.493998567339503</v>
      </c>
      <c r="R6">
        <v>1699</v>
      </c>
      <c r="S6">
        <v>734</v>
      </c>
      <c r="T6">
        <v>1519</v>
      </c>
      <c r="U6">
        <v>19.3451127819548</v>
      </c>
      <c r="V6">
        <v>758</v>
      </c>
      <c r="W6">
        <v>3283</v>
      </c>
      <c r="X6">
        <v>2525</v>
      </c>
      <c r="Y6">
        <f t="shared" si="0"/>
        <v>0.21172493920149141</v>
      </c>
      <c r="Z6">
        <f t="shared" si="1"/>
        <v>0.20220526825654891</v>
      </c>
      <c r="AA6">
        <f t="shared" si="2"/>
        <v>-0.26614665604766202</v>
      </c>
      <c r="AB6">
        <f t="shared" si="3"/>
        <v>-0.16874533037274894</v>
      </c>
      <c r="AD6">
        <f t="shared" si="7"/>
        <v>2.82664435517062</v>
      </c>
      <c r="AW6">
        <f t="shared" si="4"/>
        <v>0.11954075016814031</v>
      </c>
      <c r="AX6">
        <f t="shared" si="5"/>
        <v>6.167540311794982E-2</v>
      </c>
      <c r="AZ6">
        <f t="shared" si="6"/>
        <v>7.546252689274767</v>
      </c>
    </row>
    <row r="7" spans="1:52" ht="34" x14ac:dyDescent="0.2">
      <c r="A7" s="13">
        <v>33</v>
      </c>
      <c r="B7" t="s">
        <v>160</v>
      </c>
      <c r="C7" s="11" t="s">
        <v>161</v>
      </c>
      <c r="D7">
        <v>5.11E-2</v>
      </c>
      <c r="E7" t="s">
        <v>155</v>
      </c>
      <c r="F7">
        <v>100</v>
      </c>
      <c r="G7">
        <v>47</v>
      </c>
      <c r="H7">
        <v>29225</v>
      </c>
      <c r="I7">
        <v>4120</v>
      </c>
      <c r="J7">
        <v>5948</v>
      </c>
      <c r="K7" s="12">
        <v>1.82799999999999E-9</v>
      </c>
      <c r="L7">
        <v>20</v>
      </c>
      <c r="M7">
        <v>2</v>
      </c>
      <c r="N7" t="s">
        <v>120</v>
      </c>
      <c r="O7">
        <v>8</v>
      </c>
      <c r="P7">
        <v>0.08</v>
      </c>
      <c r="Q7">
        <v>46.926030081001301</v>
      </c>
      <c r="R7">
        <v>1706</v>
      </c>
      <c r="S7">
        <v>750</v>
      </c>
      <c r="T7">
        <v>1535</v>
      </c>
      <c r="U7">
        <v>20.335338345864599</v>
      </c>
      <c r="V7">
        <v>771</v>
      </c>
      <c r="W7">
        <v>3387</v>
      </c>
      <c r="X7">
        <v>2616</v>
      </c>
      <c r="Y7">
        <f t="shared" si="0"/>
        <v>0.22595988383235641</v>
      </c>
      <c r="Z7">
        <f t="shared" si="1"/>
        <v>0.22062992276375984</v>
      </c>
      <c r="AA7">
        <f t="shared" si="2"/>
        <v>-0.27750315551813942</v>
      </c>
      <c r="AB7">
        <f t="shared" si="3"/>
        <v>-0.17832557729455167</v>
      </c>
      <c r="AD7">
        <f t="shared" si="7"/>
        <v>3.1827550818982391</v>
      </c>
      <c r="AW7">
        <f t="shared" si="4"/>
        <v>0.10798003381647851</v>
      </c>
      <c r="AX7">
        <f t="shared" si="5"/>
        <v>5.2636095516938305E-2</v>
      </c>
      <c r="AZ7">
        <f t="shared" si="6"/>
        <v>9.8072635519790676</v>
      </c>
    </row>
    <row r="8" spans="1:52" ht="34" x14ac:dyDescent="0.2">
      <c r="A8" s="13">
        <v>34</v>
      </c>
      <c r="B8" t="s">
        <v>158</v>
      </c>
      <c r="C8" s="11" t="s">
        <v>159</v>
      </c>
      <c r="D8">
        <v>7.0000000000000001E-3</v>
      </c>
      <c r="E8" t="s">
        <v>155</v>
      </c>
      <c r="F8">
        <v>40.9</v>
      </c>
      <c r="G8">
        <v>20</v>
      </c>
      <c r="H8">
        <v>29225</v>
      </c>
      <c r="I8">
        <v>4120</v>
      </c>
      <c r="J8">
        <v>5313</v>
      </c>
      <c r="K8" s="12">
        <v>1.1929999999999999E-9</v>
      </c>
      <c r="L8">
        <v>20</v>
      </c>
      <c r="M8">
        <v>2</v>
      </c>
      <c r="N8" t="s">
        <v>120</v>
      </c>
      <c r="O8">
        <v>8</v>
      </c>
      <c r="P8">
        <v>0.08</v>
      </c>
      <c r="Q8">
        <v>19.986756396593702</v>
      </c>
      <c r="R8">
        <v>1718</v>
      </c>
      <c r="S8">
        <v>1142</v>
      </c>
      <c r="T8">
        <v>1542</v>
      </c>
      <c r="U8">
        <v>28.878195488721801</v>
      </c>
      <c r="V8">
        <v>1142</v>
      </c>
      <c r="W8">
        <v>3862</v>
      </c>
      <c r="X8">
        <v>2720</v>
      </c>
      <c r="Y8">
        <f t="shared" si="0"/>
        <v>3.9377359839512488E-2</v>
      </c>
      <c r="Z8">
        <f t="shared" si="1"/>
        <v>4.2741487985173354E-2</v>
      </c>
      <c r="AA8">
        <f t="shared" si="2"/>
        <v>-0.12864944446606413</v>
      </c>
      <c r="AB8">
        <f t="shared" si="3"/>
        <v>-8.5829127548648576E-2</v>
      </c>
      <c r="AD8">
        <f t="shared" si="7"/>
        <v>0.63595771028623616</v>
      </c>
      <c r="AW8">
        <f t="shared" si="4"/>
        <v>1.840077178395182E-2</v>
      </c>
      <c r="AX8">
        <f t="shared" si="5"/>
        <v>8.6172469214432675E-3</v>
      </c>
      <c r="AZ8">
        <f>(AD8-D8)^2</f>
        <v>0.39558780132850496</v>
      </c>
    </row>
    <row r="9" spans="1:52" ht="34" x14ac:dyDescent="0.2">
      <c r="A9" s="13">
        <v>35</v>
      </c>
      <c r="B9" t="s">
        <v>156</v>
      </c>
      <c r="C9" s="11" t="s">
        <v>157</v>
      </c>
      <c r="D9">
        <v>7.3499999999999998E-3</v>
      </c>
      <c r="E9" t="s">
        <v>155</v>
      </c>
      <c r="F9">
        <v>100</v>
      </c>
      <c r="G9">
        <v>46.2</v>
      </c>
      <c r="H9">
        <v>29225</v>
      </c>
      <c r="I9">
        <v>4120</v>
      </c>
      <c r="J9">
        <v>5932</v>
      </c>
      <c r="K9" s="12">
        <v>1.8119999999999999E-9</v>
      </c>
      <c r="L9">
        <v>20</v>
      </c>
      <c r="M9">
        <v>2</v>
      </c>
      <c r="N9" t="s">
        <v>120</v>
      </c>
      <c r="O9">
        <v>8</v>
      </c>
      <c r="P9">
        <v>0.08</v>
      </c>
      <c r="Q9">
        <v>46.108162868350803</v>
      </c>
      <c r="R9">
        <v>1694</v>
      </c>
      <c r="S9">
        <v>770</v>
      </c>
      <c r="T9">
        <v>1534</v>
      </c>
      <c r="U9">
        <v>22.771428571428501</v>
      </c>
      <c r="V9">
        <v>803</v>
      </c>
      <c r="W9">
        <v>3811</v>
      </c>
      <c r="X9">
        <v>3008</v>
      </c>
      <c r="Y9">
        <f t="shared" si="0"/>
        <v>0.25084483362003296</v>
      </c>
      <c r="Z9">
        <f t="shared" si="1"/>
        <v>0.26672776142115273</v>
      </c>
      <c r="AA9">
        <f t="shared" si="2"/>
        <v>-0.29735612484222401</v>
      </c>
      <c r="AB9">
        <f t="shared" si="3"/>
        <v>-0.20229501871481853</v>
      </c>
      <c r="AD9">
        <f t="shared" si="7"/>
        <v>4.1671999805877631</v>
      </c>
      <c r="AW9">
        <f t="shared" si="4"/>
        <v>9.2845822516365015E-2</v>
      </c>
      <c r="AX9">
        <f t="shared" si="5"/>
        <v>4.3951033871936607E-2</v>
      </c>
      <c r="AZ9">
        <f t="shared" si="6"/>
        <v>17.304351860996015</v>
      </c>
    </row>
    <row r="10" spans="1:52" ht="34" x14ac:dyDescent="0.2">
      <c r="A10" s="13">
        <v>36</v>
      </c>
      <c r="B10" t="s">
        <v>153</v>
      </c>
      <c r="C10" s="11" t="s">
        <v>154</v>
      </c>
      <c r="D10">
        <v>0</v>
      </c>
      <c r="E10" t="s">
        <v>155</v>
      </c>
      <c r="F10">
        <v>0</v>
      </c>
      <c r="G10">
        <v>1.9</v>
      </c>
      <c r="H10">
        <v>29225</v>
      </c>
      <c r="I10">
        <v>4100</v>
      </c>
      <c r="J10">
        <v>4467</v>
      </c>
      <c r="K10" s="12">
        <v>3.6700000000000003E-10</v>
      </c>
      <c r="L10">
        <v>20</v>
      </c>
      <c r="M10">
        <v>2</v>
      </c>
      <c r="N10" t="s">
        <v>120</v>
      </c>
      <c r="O10">
        <v>8</v>
      </c>
      <c r="P10">
        <v>0.08</v>
      </c>
      <c r="Q10">
        <v>1.8914443167013</v>
      </c>
      <c r="R10">
        <v>1702</v>
      </c>
      <c r="S10">
        <v>1579</v>
      </c>
      <c r="T10">
        <v>1579</v>
      </c>
      <c r="U10">
        <v>39.924060150375901</v>
      </c>
      <c r="V10">
        <v>1775</v>
      </c>
      <c r="W10">
        <v>4031</v>
      </c>
      <c r="X10">
        <v>2256</v>
      </c>
      <c r="Y10">
        <f t="shared" si="0"/>
        <v>-0.10817307508802256</v>
      </c>
      <c r="Z10">
        <f t="shared" si="1"/>
        <v>-9.7437457337681707E-2</v>
      </c>
      <c r="AA10">
        <f t="shared" si="2"/>
        <v>-1.0935151957331064E-2</v>
      </c>
      <c r="AB10">
        <f t="shared" si="3"/>
        <v>-1.2940438704836426E-2</v>
      </c>
      <c r="AD10">
        <f t="shared" si="7"/>
        <v>3.015892116471668E-2</v>
      </c>
      <c r="AW10">
        <f t="shared" si="4"/>
        <v>1.195775483299214E-4</v>
      </c>
      <c r="AX10">
        <f t="shared" si="5"/>
        <v>1.6745495387362862E-4</v>
      </c>
      <c r="AZ10">
        <f t="shared" si="6"/>
        <v>9.0956052581959567E-4</v>
      </c>
    </row>
    <row r="11" spans="1:52" ht="34" x14ac:dyDescent="0.2">
      <c r="A11" s="13">
        <v>56</v>
      </c>
      <c r="B11" t="s">
        <v>280</v>
      </c>
      <c r="C11" s="11" t="s">
        <v>281</v>
      </c>
      <c r="D11">
        <v>1.7999999999999999E-2</v>
      </c>
      <c r="E11" t="s">
        <v>282</v>
      </c>
      <c r="F11">
        <v>42.1</v>
      </c>
      <c r="G11">
        <v>20.6</v>
      </c>
      <c r="H11">
        <v>29285</v>
      </c>
      <c r="I11">
        <v>4100</v>
      </c>
      <c r="J11">
        <v>5310</v>
      </c>
      <c r="K11" s="12">
        <v>1.20999999999999E-9</v>
      </c>
      <c r="L11">
        <v>20</v>
      </c>
      <c r="M11">
        <v>2</v>
      </c>
      <c r="N11" t="s">
        <v>120</v>
      </c>
      <c r="O11">
        <v>8</v>
      </c>
      <c r="P11">
        <v>0.08</v>
      </c>
      <c r="Q11">
        <v>20.560429018571401</v>
      </c>
      <c r="R11">
        <v>1710</v>
      </c>
      <c r="S11">
        <v>1118</v>
      </c>
      <c r="T11">
        <v>1531</v>
      </c>
      <c r="U11">
        <v>26.034586466165401</v>
      </c>
      <c r="V11">
        <v>1122</v>
      </c>
      <c r="W11">
        <v>3579</v>
      </c>
      <c r="X11">
        <v>2457</v>
      </c>
      <c r="Y11">
        <f t="shared" si="0"/>
        <v>2.5840368247172674E-2</v>
      </c>
      <c r="Z11">
        <f t="shared" si="1"/>
        <v>1.8932274130510712E-2</v>
      </c>
      <c r="AA11">
        <f t="shared" si="2"/>
        <v>-0.11784976509696199</v>
      </c>
      <c r="AB11">
        <f t="shared" si="3"/>
        <v>-7.3449077347305394E-2</v>
      </c>
      <c r="AD11">
        <f t="shared" si="7"/>
        <v>0.4459956727388949</v>
      </c>
      <c r="AW11">
        <f t="shared" si="4"/>
        <v>1.8455158676899747E-2</v>
      </c>
      <c r="AX11">
        <f t="shared" si="5"/>
        <v>8.3629337476734452E-3</v>
      </c>
      <c r="AZ11">
        <f t="shared" si="6"/>
        <v>0.18318029588321921</v>
      </c>
    </row>
    <row r="12" spans="1:52" ht="34" x14ac:dyDescent="0.2">
      <c r="A12" s="13">
        <v>57</v>
      </c>
      <c r="B12" t="s">
        <v>283</v>
      </c>
      <c r="C12" s="11" t="s">
        <v>284</v>
      </c>
      <c r="D12">
        <v>0.59199999999999997</v>
      </c>
      <c r="E12" t="s">
        <v>282</v>
      </c>
      <c r="F12">
        <v>100</v>
      </c>
      <c r="G12">
        <v>46.1</v>
      </c>
      <c r="H12">
        <v>29285</v>
      </c>
      <c r="I12">
        <v>4100</v>
      </c>
      <c r="J12">
        <v>5911</v>
      </c>
      <c r="K12" s="12">
        <v>1.8109999999999899E-9</v>
      </c>
      <c r="L12">
        <v>20</v>
      </c>
      <c r="M12">
        <v>2</v>
      </c>
      <c r="N12" t="s">
        <v>120</v>
      </c>
      <c r="O12">
        <v>8</v>
      </c>
      <c r="P12">
        <v>0.08</v>
      </c>
      <c r="Q12">
        <v>46.0572848994045</v>
      </c>
      <c r="R12">
        <v>1703</v>
      </c>
      <c r="S12">
        <v>567</v>
      </c>
      <c r="T12">
        <v>1530</v>
      </c>
      <c r="U12">
        <v>8.3984962406014994</v>
      </c>
      <c r="V12">
        <v>579</v>
      </c>
      <c r="W12">
        <v>3302</v>
      </c>
      <c r="X12">
        <v>2723</v>
      </c>
      <c r="Y12">
        <f t="shared" si="0"/>
        <v>0.31481247658462741</v>
      </c>
      <c r="Z12">
        <f t="shared" si="1"/>
        <v>0.32856787682684918</v>
      </c>
      <c r="AA12">
        <f t="shared" si="2"/>
        <v>-0.34838888417449271</v>
      </c>
      <c r="AB12">
        <f t="shared" si="3"/>
        <v>-0.23444995410465086</v>
      </c>
      <c r="AD12">
        <f t="shared" si="7"/>
        <v>5.6975873836959732</v>
      </c>
      <c r="AW12">
        <f t="shared" si="4"/>
        <v>0.88433125347894748</v>
      </c>
      <c r="AX12">
        <f t="shared" si="5"/>
        <v>0.68301952663957943</v>
      </c>
      <c r="AZ12">
        <f t="shared" si="6"/>
        <v>26.067022532555495</v>
      </c>
    </row>
    <row r="13" spans="1:52" ht="34" x14ac:dyDescent="0.2">
      <c r="A13" s="13">
        <v>58</v>
      </c>
      <c r="B13" t="s">
        <v>285</v>
      </c>
      <c r="C13" s="11" t="s">
        <v>286</v>
      </c>
      <c r="D13">
        <v>0.316</v>
      </c>
      <c r="E13" t="s">
        <v>282</v>
      </c>
      <c r="F13">
        <v>100</v>
      </c>
      <c r="G13">
        <v>45</v>
      </c>
      <c r="H13">
        <v>29285</v>
      </c>
      <c r="I13">
        <v>4120</v>
      </c>
      <c r="J13">
        <v>5908</v>
      </c>
      <c r="K13" s="12">
        <v>1.788E-9</v>
      </c>
      <c r="L13">
        <v>20</v>
      </c>
      <c r="M13">
        <v>2</v>
      </c>
      <c r="N13" t="s">
        <v>120</v>
      </c>
      <c r="O13">
        <v>8</v>
      </c>
      <c r="P13">
        <v>0.08</v>
      </c>
      <c r="Q13">
        <v>44.894843377056198</v>
      </c>
      <c r="R13">
        <v>1711</v>
      </c>
      <c r="S13">
        <v>638</v>
      </c>
      <c r="T13">
        <v>1515</v>
      </c>
      <c r="U13">
        <v>12.2842105263157</v>
      </c>
      <c r="V13">
        <v>646</v>
      </c>
      <c r="W13">
        <v>3251</v>
      </c>
      <c r="X13">
        <v>2605</v>
      </c>
      <c r="Y13">
        <f t="shared" si="0"/>
        <v>0.26643587500079302</v>
      </c>
      <c r="Z13">
        <f t="shared" si="1"/>
        <v>0.26688083238493066</v>
      </c>
      <c r="AA13">
        <f t="shared" si="2"/>
        <v>-0.30979450502396927</v>
      </c>
      <c r="AB13">
        <f t="shared" si="3"/>
        <v>-0.20237461085202671</v>
      </c>
      <c r="AD13">
        <f>$AS$3*AB13^2+$AT$3*AB13+$AU$3</f>
        <v>4.1706913733412829</v>
      </c>
      <c r="AW13">
        <f t="shared" si="4"/>
        <v>0.39161876251819472</v>
      </c>
      <c r="AX13">
        <f t="shared" si="5"/>
        <v>0.26871223717599013</v>
      </c>
      <c r="AZ13">
        <f t="shared" si="6"/>
        <v>14.858645583711708</v>
      </c>
    </row>
    <row r="14" spans="1:52" ht="34" x14ac:dyDescent="0.2">
      <c r="A14" s="13">
        <v>59</v>
      </c>
      <c r="B14" t="s">
        <v>287</v>
      </c>
      <c r="C14" s="11" t="s">
        <v>288</v>
      </c>
      <c r="D14">
        <v>0.106</v>
      </c>
      <c r="E14" t="s">
        <v>282</v>
      </c>
      <c r="F14">
        <v>41.5</v>
      </c>
      <c r="G14">
        <v>20.3</v>
      </c>
      <c r="H14">
        <v>29285</v>
      </c>
      <c r="I14">
        <v>4080</v>
      </c>
      <c r="J14">
        <v>5282</v>
      </c>
      <c r="K14" s="12">
        <v>1.2019999999999901E-9</v>
      </c>
      <c r="L14">
        <v>20</v>
      </c>
      <c r="M14">
        <v>2</v>
      </c>
      <c r="N14" t="s">
        <v>120</v>
      </c>
      <c r="O14">
        <v>8</v>
      </c>
      <c r="P14">
        <v>0.08</v>
      </c>
      <c r="Q14">
        <v>20.289454332182299</v>
      </c>
      <c r="R14">
        <v>1698</v>
      </c>
      <c r="S14">
        <v>1031</v>
      </c>
      <c r="T14">
        <v>1551</v>
      </c>
      <c r="U14">
        <v>14.976691729323299</v>
      </c>
      <c r="V14">
        <v>1038</v>
      </c>
      <c r="W14">
        <v>3258</v>
      </c>
      <c r="X14">
        <v>2220</v>
      </c>
      <c r="Y14">
        <f t="shared" si="0"/>
        <v>2.0442297192469538E-2</v>
      </c>
      <c r="Z14">
        <f t="shared" si="1"/>
        <v>1.7803904038679874E-3</v>
      </c>
      <c r="AA14">
        <f t="shared" si="2"/>
        <v>-0.1135432368550878</v>
      </c>
      <c r="AB14">
        <f t="shared" si="3"/>
        <v>-6.4530631619545489E-2</v>
      </c>
      <c r="AD14">
        <f t="shared" si="7"/>
        <v>0.33122703454033448</v>
      </c>
      <c r="AW14">
        <f t="shared" si="4"/>
        <v>4.8199232848809184E-2</v>
      </c>
      <c r="AX14">
        <f t="shared" si="5"/>
        <v>2.9080696320561126E-2</v>
      </c>
      <c r="AZ14">
        <f t="shared" si="6"/>
        <v>5.0727217087833024E-2</v>
      </c>
    </row>
    <row r="15" spans="1:52" ht="34" x14ac:dyDescent="0.2">
      <c r="A15" s="13">
        <v>60</v>
      </c>
      <c r="B15" t="s">
        <v>289</v>
      </c>
      <c r="C15" s="11" t="s">
        <v>290</v>
      </c>
      <c r="D15">
        <v>2.8400000000000002E-2</v>
      </c>
      <c r="E15" t="s">
        <v>282</v>
      </c>
      <c r="F15">
        <v>100</v>
      </c>
      <c r="G15">
        <v>46</v>
      </c>
      <c r="H15">
        <v>29285</v>
      </c>
      <c r="I15">
        <v>4100</v>
      </c>
      <c r="J15">
        <v>5909</v>
      </c>
      <c r="K15" s="12">
        <v>1.8089999999999899E-9</v>
      </c>
      <c r="L15">
        <v>20</v>
      </c>
      <c r="M15">
        <v>2</v>
      </c>
      <c r="N15" t="s">
        <v>120</v>
      </c>
      <c r="O15">
        <v>8</v>
      </c>
      <c r="P15">
        <v>0.08</v>
      </c>
      <c r="Q15">
        <v>45.955613219809898</v>
      </c>
      <c r="R15">
        <v>1702</v>
      </c>
      <c r="S15">
        <v>763</v>
      </c>
      <c r="T15">
        <v>1527</v>
      </c>
      <c r="U15">
        <v>21.3473684210526</v>
      </c>
      <c r="V15">
        <v>786</v>
      </c>
      <c r="W15">
        <v>3555</v>
      </c>
      <c r="X15">
        <v>2769</v>
      </c>
      <c r="Y15">
        <f t="shared" si="0"/>
        <v>0.23293042485912438</v>
      </c>
      <c r="Z15">
        <f t="shared" si="1"/>
        <v>0.2360829462780927</v>
      </c>
      <c r="AA15">
        <f t="shared" si="2"/>
        <v>-0.28306418490969676</v>
      </c>
      <c r="AB15">
        <f t="shared" si="3"/>
        <v>-0.18636066858474618</v>
      </c>
      <c r="AD15">
        <f t="shared" si="7"/>
        <v>3.4978815784394639</v>
      </c>
      <c r="AW15">
        <f t="shared" si="4"/>
        <v>9.7009938481461763E-2</v>
      </c>
      <c r="AX15">
        <f t="shared" si="5"/>
        <v>4.612214477096719E-2</v>
      </c>
      <c r="AZ15">
        <f t="shared" si="6"/>
        <v>12.037302423130795</v>
      </c>
    </row>
    <row r="16" spans="1:52" ht="34" x14ac:dyDescent="0.2">
      <c r="A16" s="13">
        <v>119</v>
      </c>
      <c r="B16" t="s">
        <v>356</v>
      </c>
      <c r="C16" s="11" t="s">
        <v>344</v>
      </c>
      <c r="D16">
        <v>0.24099999999999999</v>
      </c>
      <c r="E16" t="s">
        <v>345</v>
      </c>
      <c r="F16">
        <v>100</v>
      </c>
      <c r="G16">
        <v>46.4</v>
      </c>
      <c r="H16">
        <v>29285</v>
      </c>
      <c r="I16">
        <v>4100</v>
      </c>
      <c r="J16">
        <v>5917</v>
      </c>
      <c r="K16" s="12">
        <v>1.8169999999999899E-9</v>
      </c>
      <c r="L16">
        <v>20</v>
      </c>
      <c r="M16">
        <v>2</v>
      </c>
      <c r="N16" t="s">
        <v>120</v>
      </c>
      <c r="O16">
        <v>8</v>
      </c>
      <c r="P16">
        <v>0.08</v>
      </c>
      <c r="Q16">
        <v>46.362974004572401</v>
      </c>
      <c r="R16">
        <v>1706</v>
      </c>
      <c r="S16">
        <v>670</v>
      </c>
      <c r="T16">
        <v>1539</v>
      </c>
      <c r="U16">
        <v>14.2127819548872</v>
      </c>
      <c r="V16">
        <v>679</v>
      </c>
      <c r="W16">
        <v>3235</v>
      </c>
      <c r="X16">
        <v>2556</v>
      </c>
      <c r="Y16">
        <f t="shared" si="0"/>
        <v>0.25326051634921476</v>
      </c>
      <c r="Z16">
        <f t="shared" si="1"/>
        <v>0.24881124809182795</v>
      </c>
      <c r="AA16">
        <f t="shared" si="2"/>
        <v>-0.29928333287472392</v>
      </c>
      <c r="AB16">
        <f t="shared" si="3"/>
        <v>-0.19297898939087521</v>
      </c>
      <c r="AD16">
        <f t="shared" si="7"/>
        <v>3.7687161612703171</v>
      </c>
      <c r="AW16">
        <f t="shared" si="4"/>
        <v>0.29190607978221966</v>
      </c>
      <c r="AX16">
        <f t="shared" si="5"/>
        <v>0.18833776323272536</v>
      </c>
      <c r="AZ16">
        <f t="shared" si="6"/>
        <v>12.444781314487781</v>
      </c>
    </row>
    <row r="17" spans="1:52" ht="34" x14ac:dyDescent="0.2">
      <c r="A17" s="13">
        <v>120</v>
      </c>
      <c r="B17" t="s">
        <v>357</v>
      </c>
      <c r="C17" s="11" t="s">
        <v>347</v>
      </c>
      <c r="D17">
        <v>0.28199999999999997</v>
      </c>
      <c r="E17" t="s">
        <v>345</v>
      </c>
      <c r="F17">
        <v>100</v>
      </c>
      <c r="G17">
        <v>46.2</v>
      </c>
      <c r="H17">
        <v>29285</v>
      </c>
      <c r="I17">
        <v>4120</v>
      </c>
      <c r="J17">
        <v>5932</v>
      </c>
      <c r="K17" s="12">
        <v>1.8119999999999999E-9</v>
      </c>
      <c r="L17">
        <v>20</v>
      </c>
      <c r="M17">
        <v>2</v>
      </c>
      <c r="N17" t="s">
        <v>120</v>
      </c>
      <c r="O17">
        <v>8</v>
      </c>
      <c r="P17">
        <v>0.08</v>
      </c>
      <c r="Q17">
        <v>46.108162868350803</v>
      </c>
      <c r="R17">
        <v>1695</v>
      </c>
      <c r="S17">
        <v>654</v>
      </c>
      <c r="T17">
        <v>1522</v>
      </c>
      <c r="U17">
        <v>12.9255639097744</v>
      </c>
      <c r="V17">
        <v>666</v>
      </c>
      <c r="W17">
        <v>3246</v>
      </c>
      <c r="X17">
        <v>2580</v>
      </c>
      <c r="Y17">
        <f t="shared" si="0"/>
        <v>0.26032159917488729</v>
      </c>
      <c r="Z17">
        <f>AB17*$AO$2+$AP$2</f>
        <v>0.25884021547869807</v>
      </c>
      <c r="AA17">
        <f t="shared" si="2"/>
        <v>-0.30491659562706908</v>
      </c>
      <c r="AB17">
        <f t="shared" si="3"/>
        <v>-0.19819374030516346</v>
      </c>
      <c r="AD17">
        <f t="shared" si="7"/>
        <v>3.9892860783486102</v>
      </c>
      <c r="AW17">
        <f t="shared" si="4"/>
        <v>0.34447109022246841</v>
      </c>
      <c r="AX17">
        <f t="shared" si="5"/>
        <v>0.23058602822826274</v>
      </c>
      <c r="AZ17">
        <f t="shared" si="6"/>
        <v>13.743970066717417</v>
      </c>
    </row>
    <row r="18" spans="1:52" ht="34" x14ac:dyDescent="0.2">
      <c r="A18" s="13">
        <v>121</v>
      </c>
      <c r="B18" t="s">
        <v>358</v>
      </c>
      <c r="C18" s="11" t="s">
        <v>349</v>
      </c>
      <c r="D18">
        <v>0.25800000000000001</v>
      </c>
      <c r="E18" t="s">
        <v>345</v>
      </c>
      <c r="F18">
        <v>100</v>
      </c>
      <c r="G18">
        <v>45.4</v>
      </c>
      <c r="H18">
        <v>29285</v>
      </c>
      <c r="I18">
        <v>4100</v>
      </c>
      <c r="J18">
        <v>5897</v>
      </c>
      <c r="K18" s="12">
        <v>1.79699999999999E-9</v>
      </c>
      <c r="L18">
        <v>20</v>
      </c>
      <c r="M18">
        <v>2</v>
      </c>
      <c r="N18" t="s">
        <v>120</v>
      </c>
      <c r="O18">
        <v>8</v>
      </c>
      <c r="P18">
        <v>0.08</v>
      </c>
      <c r="Q18">
        <v>45.347942374586502</v>
      </c>
      <c r="R18">
        <v>1706</v>
      </c>
      <c r="S18">
        <v>667</v>
      </c>
      <c r="T18">
        <v>1546</v>
      </c>
      <c r="U18">
        <v>13.3406015037594</v>
      </c>
      <c r="V18">
        <v>670</v>
      </c>
      <c r="W18">
        <v>3242</v>
      </c>
      <c r="X18">
        <v>2572</v>
      </c>
      <c r="Y18">
        <f t="shared" si="0"/>
        <v>0.25461249509573303</v>
      </c>
      <c r="Z18">
        <f t="shared" si="1"/>
        <v>0.25172745181251877</v>
      </c>
      <c r="AA18">
        <f t="shared" si="2"/>
        <v>-0.30036192828321184</v>
      </c>
      <c r="AB18">
        <f t="shared" si="3"/>
        <v>-0.19449532456598334</v>
      </c>
      <c r="AD18">
        <f t="shared" si="7"/>
        <v>3.8322012324928703</v>
      </c>
      <c r="AW18">
        <f>(AA18-D18)^2</f>
        <v>0.31176804295614663</v>
      </c>
      <c r="AX18">
        <f t="shared" si="5"/>
        <v>0.20475201875407462</v>
      </c>
      <c r="AZ18">
        <f t="shared" si="6"/>
        <v>12.774914450353553</v>
      </c>
    </row>
    <row r="19" spans="1:52" ht="34" x14ac:dyDescent="0.2">
      <c r="A19" s="13">
        <v>122</v>
      </c>
      <c r="B19" t="s">
        <v>359</v>
      </c>
      <c r="C19" s="11" t="s">
        <v>351</v>
      </c>
      <c r="D19">
        <v>0.15670000000000001</v>
      </c>
      <c r="E19" t="s">
        <v>345</v>
      </c>
      <c r="F19">
        <v>100</v>
      </c>
      <c r="G19">
        <v>44.9</v>
      </c>
      <c r="H19">
        <v>29285</v>
      </c>
      <c r="I19">
        <v>4120</v>
      </c>
      <c r="J19">
        <v>5907</v>
      </c>
      <c r="K19" s="12">
        <v>1.7869999999999999E-9</v>
      </c>
      <c r="L19">
        <v>20</v>
      </c>
      <c r="M19">
        <v>2</v>
      </c>
      <c r="N19" t="s">
        <v>120</v>
      </c>
      <c r="O19">
        <v>8</v>
      </c>
      <c r="P19">
        <v>0.08</v>
      </c>
      <c r="Q19">
        <v>44.844639474493903</v>
      </c>
      <c r="R19">
        <v>1699</v>
      </c>
      <c r="S19">
        <v>698</v>
      </c>
      <c r="T19">
        <v>1514</v>
      </c>
      <c r="U19">
        <v>16.481203007518701</v>
      </c>
      <c r="V19">
        <v>710</v>
      </c>
      <c r="W19">
        <v>3210</v>
      </c>
      <c r="X19">
        <v>2500</v>
      </c>
      <c r="Y19">
        <f t="shared" si="0"/>
        <v>0.22847523803597344</v>
      </c>
      <c r="Z19">
        <f t="shared" si="1"/>
        <v>0.21948165582287563</v>
      </c>
      <c r="AA19">
        <f t="shared" si="2"/>
        <v>-0.27950988047718861</v>
      </c>
      <c r="AB19">
        <f t="shared" si="3"/>
        <v>-0.17772851422226946</v>
      </c>
      <c r="AD19">
        <f t="shared" si="7"/>
        <v>3.159938037728486</v>
      </c>
      <c r="AW19">
        <f>(AA19-D19)^2</f>
        <v>0.19027905982592319</v>
      </c>
      <c r="AX19">
        <f t="shared" si="5"/>
        <v>0.11184243112491471</v>
      </c>
      <c r="AZ19">
        <f t="shared" si="6"/>
        <v>9.019438711259248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56D9-F9ED-4741-8BFC-CFC6724EF007}">
  <dimension ref="A1:BI27"/>
  <sheetViews>
    <sheetView topLeftCell="R14" zoomScale="110" zoomScaleNormal="110" workbookViewId="0">
      <selection activeCell="AD22" sqref="AD22:AE27"/>
    </sheetView>
  </sheetViews>
  <sheetFormatPr baseColWidth="10" defaultRowHeight="16" x14ac:dyDescent="0.2"/>
  <cols>
    <col min="27" max="27" width="12.6640625" customWidth="1"/>
    <col min="28" max="28" width="14.1640625" customWidth="1"/>
    <col min="31" max="31" width="12.5" bestFit="1" customWidth="1"/>
    <col min="35" max="35" width="12.6640625" customWidth="1"/>
    <col min="52" max="52" width="11.1640625" bestFit="1" customWidth="1"/>
    <col min="53" max="53" width="12.5" bestFit="1" customWidth="1"/>
  </cols>
  <sheetData>
    <row r="1" spans="1:61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E1" t="s">
        <v>400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  <c r="BA1" t="s">
        <v>402</v>
      </c>
      <c r="BB1" t="s">
        <v>148</v>
      </c>
      <c r="BC1" t="s">
        <v>21</v>
      </c>
      <c r="BD1" t="s">
        <v>24</v>
      </c>
      <c r="BE1" t="s">
        <v>25</v>
      </c>
      <c r="BF1" t="s">
        <v>27</v>
      </c>
      <c r="BG1" t="s">
        <v>150</v>
      </c>
      <c r="BH1" t="s">
        <v>386</v>
      </c>
      <c r="BI1" t="s">
        <v>401</v>
      </c>
    </row>
    <row r="2" spans="1:61" ht="34" x14ac:dyDescent="0.2">
      <c r="A2" s="13">
        <v>1</v>
      </c>
      <c r="B2" t="s">
        <v>232</v>
      </c>
      <c r="C2" s="11" t="s">
        <v>184</v>
      </c>
      <c r="D2">
        <v>0.437</v>
      </c>
      <c r="E2" t="s">
        <v>155</v>
      </c>
      <c r="F2">
        <v>-1</v>
      </c>
      <c r="G2">
        <v>81.2</v>
      </c>
      <c r="H2">
        <v>20105</v>
      </c>
      <c r="I2">
        <v>4100</v>
      </c>
      <c r="J2">
        <v>10161</v>
      </c>
      <c r="K2" s="12">
        <v>6.0609999999999996E-9</v>
      </c>
      <c r="L2">
        <v>20</v>
      </c>
      <c r="M2">
        <v>1</v>
      </c>
      <c r="N2" t="s">
        <v>81</v>
      </c>
      <c r="O2">
        <v>20</v>
      </c>
      <c r="P2">
        <v>0.2</v>
      </c>
      <c r="Q2">
        <v>82.541048733452101</v>
      </c>
      <c r="R2">
        <v>3787</v>
      </c>
      <c r="S2">
        <v>2131</v>
      </c>
      <c r="T2">
        <v>3590</v>
      </c>
      <c r="U2">
        <v>1.05338345864661</v>
      </c>
      <c r="V2">
        <v>2135</v>
      </c>
      <c r="W2">
        <v>2359</v>
      </c>
      <c r="X2">
        <v>224</v>
      </c>
      <c r="Y2">
        <f>AA2*$AM$2+$AN$2</f>
        <v>0.34582804608807394</v>
      </c>
      <c r="Z2">
        <f>AB2*$AO$2+$AP$2</f>
        <v>0.3461210437277944</v>
      </c>
      <c r="AA2">
        <f>((Q2^0.5)/(120*3.1415*P2))*LN($AI$2*V2/X2)</f>
        <v>0.27167616671694483</v>
      </c>
      <c r="AB2">
        <f>((Q2^0.5)/(120*3.14*P2))*LN((V2*($AJ$2*R2-V2))/(R2*X2))</f>
        <v>0.31545029039493944</v>
      </c>
      <c r="AC2">
        <f>$AS$2*AA2^2+$AT$2*AA2+$AU$2</f>
        <v>0.23586343664381842</v>
      </c>
      <c r="AD2">
        <f>$AS$3*AB2^2+$AT$3*AB2+$AU$3</f>
        <v>0.39796754004317575</v>
      </c>
      <c r="AE2">
        <f>$BB$2*Q2+$BC$2*R2+$BD$2*V2+$BE$2*W2+$BF$2*X2+$BG$2*U2+$BH$2*AD2+$BI$2</f>
        <v>0.40968607673418067</v>
      </c>
      <c r="AH2" t="s">
        <v>376</v>
      </c>
      <c r="AI2">
        <v>1</v>
      </c>
      <c r="AJ2">
        <v>2</v>
      </c>
      <c r="AK2">
        <f>RSQ(AA2:AA115,D2:D115)</f>
        <v>0.88247205466814937</v>
      </c>
      <c r="AL2">
        <f>RSQ(AB2:AB115,D2:D115)</f>
        <v>0.888038286853985</v>
      </c>
      <c r="AM2">
        <f>SLOPE(D2:D19,AA2:AA19)</f>
        <v>1.2563405992654613</v>
      </c>
      <c r="AN2">
        <f>INTERCEPT(D2:D19,AA2:AA19)</f>
        <v>4.5102479887640656E-3</v>
      </c>
      <c r="AO2">
        <f>SLOPE(D2:D19,AB2:AB19)</f>
        <v>1.1491917411506785</v>
      </c>
      <c r="AP2">
        <f>INTERCEPT(D2:D19,AB2:AB19)</f>
        <v>-1.6391824737653188E-2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2.7331969851403418E-2</v>
      </c>
      <c r="AX2">
        <f>(AB2-D2)^2</f>
        <v>1.4774331905074552E-2</v>
      </c>
      <c r="AZ2">
        <f>(AD2-D2)^2</f>
        <v>1.5235329302810885E-3</v>
      </c>
      <c r="BA2">
        <f>(D2-AE2)^2</f>
        <v>7.4605040417106646E-4</v>
      </c>
      <c r="BB2">
        <v>-7.5770000000000004E-3</v>
      </c>
      <c r="BC2">
        <v>4.9799999999999996E-4</v>
      </c>
      <c r="BD2">
        <v>-5.0199999999999995E-4</v>
      </c>
      <c r="BE2">
        <v>-6.2299999999999996E-4</v>
      </c>
      <c r="BF2">
        <v>-1.21E-4</v>
      </c>
      <c r="BG2">
        <v>4.8230000000000002E-2</v>
      </c>
      <c r="BH2">
        <v>0.69486300000000001</v>
      </c>
      <c r="BI2">
        <v>1.3903669999999999</v>
      </c>
    </row>
    <row r="3" spans="1:61" ht="34" x14ac:dyDescent="0.2">
      <c r="A3" s="13">
        <v>2</v>
      </c>
      <c r="B3" t="s">
        <v>233</v>
      </c>
      <c r="C3" s="11" t="s">
        <v>182</v>
      </c>
      <c r="D3">
        <v>0.42399999999999999</v>
      </c>
      <c r="E3" t="s">
        <v>155</v>
      </c>
      <c r="F3">
        <v>-1</v>
      </c>
      <c r="G3">
        <v>81.2</v>
      </c>
      <c r="H3">
        <v>20105</v>
      </c>
      <c r="I3">
        <v>4100</v>
      </c>
      <c r="J3">
        <v>10233</v>
      </c>
      <c r="K3" s="12">
        <v>6.1329999999999903E-9</v>
      </c>
      <c r="L3">
        <v>20</v>
      </c>
      <c r="M3">
        <v>1</v>
      </c>
      <c r="N3" t="s">
        <v>81</v>
      </c>
      <c r="O3">
        <v>20</v>
      </c>
      <c r="P3">
        <v>0.2</v>
      </c>
      <c r="Q3">
        <v>84.513744450365095</v>
      </c>
      <c r="R3">
        <v>3787</v>
      </c>
      <c r="S3">
        <v>2135</v>
      </c>
      <c r="T3">
        <v>3587</v>
      </c>
      <c r="U3">
        <v>1.0684210526315701</v>
      </c>
      <c r="V3">
        <v>2139</v>
      </c>
      <c r="W3">
        <v>2363</v>
      </c>
      <c r="X3">
        <v>224</v>
      </c>
      <c r="Y3">
        <f t="shared" ref="Y3:Y18" si="0">AA3*$AM$2+$AN$2</f>
        <v>0.35016937142863414</v>
      </c>
      <c r="Z3">
        <f t="shared" ref="Z3:Z18" si="1">AB3*$AO$2+$AP$2</f>
        <v>0.35058668359960543</v>
      </c>
      <c r="AA3">
        <f t="shared" ref="AA3:AA18" si="2">((Q3^0.5)/(120*3.1415*P3))*LN($AI$2*V3/X3)</f>
        <v>0.27513169887366923</v>
      </c>
      <c r="AB3">
        <f t="shared" ref="AB3:AB18" si="3">((Q3^0.5)/(120*3.14*P3))*LN((V3*($AJ$2*R3-V3))/(R3*X3))</f>
        <v>0.31933618664001651</v>
      </c>
      <c r="AD3">
        <f t="shared" ref="AD3:AD18" si="4">$AS$3*AB3^2+$AT$3*AB3+$AU$3</f>
        <v>0.40824209915524545</v>
      </c>
      <c r="AE3">
        <f t="shared" ref="AE3:AE18" si="5">$BB$2*Q3+$BC$2*R3+$BD$2*V3+$BE$2*W3+$BF$2*X3+$BG$2*U3+$BH$2*AD3+$BI$2</f>
        <v>0.39810363541331528</v>
      </c>
      <c r="AI3" t="s">
        <v>398</v>
      </c>
      <c r="AJ3" t="s">
        <v>397</v>
      </c>
      <c r="AL3" t="s">
        <v>399</v>
      </c>
      <c r="AR3" t="s">
        <v>227</v>
      </c>
      <c r="AS3">
        <v>4.4553000000000003</v>
      </c>
      <c r="AT3">
        <v>-0.18410000000000001</v>
      </c>
      <c r="AU3">
        <v>1.2699999999999999E-2</v>
      </c>
      <c r="AW3">
        <f t="shared" ref="AW3:AW19" si="6">(AA3-D3)^2</f>
        <v>2.2161771080239891E-2</v>
      </c>
      <c r="AX3">
        <f t="shared" ref="AX3:AX19" si="7">(AB3-D3)^2</f>
        <v>1.0954513827053456E-2</v>
      </c>
      <c r="AZ3">
        <f t="shared" ref="AZ3:AZ19" si="8">(AD3-D3)^2</f>
        <v>2.4831143903311572E-4</v>
      </c>
      <c r="BA3">
        <f t="shared" ref="BA3:BA19" si="9">(D3-AE3)^2</f>
        <v>6.7062169880649774E-4</v>
      </c>
    </row>
    <row r="4" spans="1:61" ht="34" x14ac:dyDescent="0.2">
      <c r="A4" s="13">
        <v>3</v>
      </c>
      <c r="B4" t="s">
        <v>190</v>
      </c>
      <c r="C4" s="11" t="s">
        <v>165</v>
      </c>
      <c r="D4">
        <v>0.1552</v>
      </c>
      <c r="E4" t="s">
        <v>155</v>
      </c>
      <c r="F4">
        <v>100</v>
      </c>
      <c r="G4">
        <v>81.2</v>
      </c>
      <c r="H4">
        <v>20105</v>
      </c>
      <c r="I4">
        <v>4100</v>
      </c>
      <c r="J4">
        <v>10107</v>
      </c>
      <c r="K4" s="12">
        <v>6.0069999999999996E-9</v>
      </c>
      <c r="L4">
        <v>20</v>
      </c>
      <c r="M4">
        <v>1</v>
      </c>
      <c r="N4" t="s">
        <v>81</v>
      </c>
      <c r="O4">
        <v>20</v>
      </c>
      <c r="P4">
        <v>0.2</v>
      </c>
      <c r="Q4">
        <v>81.076814771357704</v>
      </c>
      <c r="R4">
        <v>3490</v>
      </c>
      <c r="S4">
        <v>2174</v>
      </c>
      <c r="T4">
        <v>3287</v>
      </c>
      <c r="U4">
        <v>7.9060150375939804</v>
      </c>
      <c r="V4">
        <v>2182</v>
      </c>
      <c r="W4">
        <v>2699</v>
      </c>
      <c r="X4">
        <v>517</v>
      </c>
      <c r="Y4">
        <f t="shared" si="0"/>
        <v>0.2205611752074953</v>
      </c>
      <c r="Z4">
        <f t="shared" si="1"/>
        <v>0.22503248400379433</v>
      </c>
      <c r="AA4">
        <f t="shared" si="2"/>
        <v>0.1719684354267057</v>
      </c>
      <c r="AB4">
        <f t="shared" si="3"/>
        <v>0.21008183412431322</v>
      </c>
      <c r="AD4">
        <f t="shared" si="4"/>
        <v>0.17065582431517559</v>
      </c>
      <c r="AE4">
        <f t="shared" si="5"/>
        <v>0.17455949779169666</v>
      </c>
      <c r="AI4">
        <f>(AVERAGE(AW2:AW19))^0.5</f>
        <v>6.9537439322631733E-2</v>
      </c>
      <c r="AJ4">
        <f>(AVERAGE(AX2:AX19))^0.5</f>
        <v>5.3312466145296861E-2</v>
      </c>
      <c r="AL4">
        <f>(AVERAGE(AZ2:AZ19))^0.5</f>
        <v>2.2402672132176692E-2</v>
      </c>
      <c r="AW4">
        <f>(AA4-D4)^2</f>
        <v>2.8118042665959867E-4</v>
      </c>
      <c r="AX4">
        <f t="shared" si="7"/>
        <v>3.0120157168486306E-3</v>
      </c>
      <c r="AZ4">
        <f t="shared" si="8"/>
        <v>2.3888250526157289E-4</v>
      </c>
      <c r="BA4">
        <f t="shared" si="9"/>
        <v>3.747901547467077E-4</v>
      </c>
    </row>
    <row r="5" spans="1:61" ht="34" x14ac:dyDescent="0.2">
      <c r="A5" s="13">
        <v>4</v>
      </c>
      <c r="B5" t="s">
        <v>234</v>
      </c>
      <c r="C5" s="11" t="s">
        <v>167</v>
      </c>
      <c r="D5">
        <v>0.41399999999999998</v>
      </c>
      <c r="E5" t="s">
        <v>155</v>
      </c>
      <c r="F5">
        <v>-1</v>
      </c>
      <c r="G5">
        <v>81.2</v>
      </c>
      <c r="H5">
        <v>20105</v>
      </c>
      <c r="I5">
        <v>4100</v>
      </c>
      <c r="J5">
        <v>10017</v>
      </c>
      <c r="K5" s="12">
        <v>5.9169999999999902E-9</v>
      </c>
      <c r="L5">
        <v>20</v>
      </c>
      <c r="M5">
        <v>1</v>
      </c>
      <c r="N5" t="s">
        <v>81</v>
      </c>
      <c r="O5">
        <v>20</v>
      </c>
      <c r="P5">
        <v>0.2</v>
      </c>
      <c r="Q5">
        <v>78.665544502324593</v>
      </c>
      <c r="R5">
        <v>3779</v>
      </c>
      <c r="S5">
        <v>2138</v>
      </c>
      <c r="T5">
        <v>3578</v>
      </c>
      <c r="U5">
        <v>1.0714285714285701</v>
      </c>
      <c r="V5">
        <v>2150</v>
      </c>
      <c r="W5">
        <v>2371</v>
      </c>
      <c r="X5">
        <v>221</v>
      </c>
      <c r="Y5">
        <f t="shared" si="0"/>
        <v>0.34074631735433047</v>
      </c>
      <c r="Z5">
        <f t="shared" si="1"/>
        <v>0.3397918108669431</v>
      </c>
      <c r="AA5">
        <f t="shared" si="2"/>
        <v>0.26763130122687429</v>
      </c>
      <c r="AB5">
        <f>((Q5^0.5)/(120*3.14*P5))*LN((V5*($AJ$2*R5-V5))/(R5*X5))</f>
        <v>0.30994273875302292</v>
      </c>
      <c r="AD5">
        <f>$AS$3*AB5^2+$AT$3*AB5+$AU$3</f>
        <v>0.38363571446296335</v>
      </c>
      <c r="AE5">
        <f t="shared" si="5"/>
        <v>0.4113354327647647</v>
      </c>
      <c r="AW5">
        <f t="shared" si="6"/>
        <v>2.1423795980538007E-2</v>
      </c>
      <c r="AX5">
        <f t="shared" si="7"/>
        <v>1.0827913618221633E-2</v>
      </c>
      <c r="AZ5">
        <f>(AD5-D5)^2</f>
        <v>9.2198983617469178E-4</v>
      </c>
      <c r="BA5">
        <f t="shared" si="9"/>
        <v>7.0999185510893963E-6</v>
      </c>
    </row>
    <row r="6" spans="1:61" ht="34" x14ac:dyDescent="0.2">
      <c r="A6" s="13">
        <v>5</v>
      </c>
      <c r="B6" t="s">
        <v>189</v>
      </c>
      <c r="C6" s="11" t="s">
        <v>163</v>
      </c>
      <c r="D6">
        <v>7.9600000000000004E-2</v>
      </c>
      <c r="E6" t="s">
        <v>155</v>
      </c>
      <c r="F6">
        <v>100</v>
      </c>
      <c r="G6">
        <v>81.8</v>
      </c>
      <c r="H6">
        <v>20105</v>
      </c>
      <c r="I6">
        <v>4100</v>
      </c>
      <c r="J6">
        <v>10129</v>
      </c>
      <c r="K6" s="12">
        <v>6.0289999999999898E-9</v>
      </c>
      <c r="L6">
        <v>20</v>
      </c>
      <c r="M6">
        <v>1</v>
      </c>
      <c r="N6" t="s">
        <v>81</v>
      </c>
      <c r="O6">
        <v>20</v>
      </c>
      <c r="P6">
        <v>0.2</v>
      </c>
      <c r="Q6">
        <v>81.671772724577806</v>
      </c>
      <c r="R6">
        <v>3167</v>
      </c>
      <c r="S6">
        <v>2074</v>
      </c>
      <c r="T6">
        <v>2967</v>
      </c>
      <c r="U6">
        <v>15.3586466165413</v>
      </c>
      <c r="V6">
        <v>2099</v>
      </c>
      <c r="W6">
        <v>3039</v>
      </c>
      <c r="X6">
        <v>940</v>
      </c>
      <c r="Y6">
        <f t="shared" si="0"/>
        <v>0.12548438972210318</v>
      </c>
      <c r="Z6">
        <f t="shared" si="1"/>
        <v>0.13436574130016302</v>
      </c>
      <c r="AA6">
        <f t="shared" si="2"/>
        <v>9.6290879880876659E-2</v>
      </c>
      <c r="AB6">
        <f t="shared" si="3"/>
        <v>0.13118573745305862</v>
      </c>
      <c r="AD6">
        <f t="shared" si="4"/>
        <v>6.5223071947168337E-2</v>
      </c>
      <c r="AE6">
        <f t="shared" si="5"/>
        <v>7.4039603824086031E-2</v>
      </c>
      <c r="AW6">
        <f t="shared" si="6"/>
        <v>2.7858547119785312E-4</v>
      </c>
      <c r="AX6">
        <f t="shared" si="7"/>
        <v>2.6610883085758938E-3</v>
      </c>
      <c r="AZ6">
        <f t="shared" si="8"/>
        <v>2.0669606023629813E-4</v>
      </c>
      <c r="BA6">
        <f t="shared" si="9"/>
        <v>3.0918005633118739E-5</v>
      </c>
    </row>
    <row r="7" spans="1:61" ht="34" x14ac:dyDescent="0.2">
      <c r="A7" s="13">
        <v>6</v>
      </c>
      <c r="B7" t="s">
        <v>187</v>
      </c>
      <c r="C7" s="11" t="s">
        <v>159</v>
      </c>
      <c r="D7">
        <v>7.0000000000000001E-3</v>
      </c>
      <c r="E7" t="s">
        <v>155</v>
      </c>
      <c r="F7">
        <v>39.799999999999997</v>
      </c>
      <c r="G7">
        <v>26</v>
      </c>
      <c r="H7">
        <v>20105</v>
      </c>
      <c r="I7">
        <v>4100</v>
      </c>
      <c r="J7">
        <v>7502</v>
      </c>
      <c r="K7" s="12">
        <v>3.4019999999999901E-9</v>
      </c>
      <c r="L7">
        <v>20</v>
      </c>
      <c r="M7">
        <v>1</v>
      </c>
      <c r="N7" t="s">
        <v>81</v>
      </c>
      <c r="O7">
        <v>20</v>
      </c>
      <c r="P7">
        <v>0.2</v>
      </c>
      <c r="Q7">
        <v>26.0045913291228</v>
      </c>
      <c r="R7">
        <v>1947</v>
      </c>
      <c r="S7">
        <v>1727</v>
      </c>
      <c r="T7">
        <v>1727</v>
      </c>
      <c r="U7">
        <v>31.609022556390901</v>
      </c>
      <c r="V7">
        <v>1791</v>
      </c>
      <c r="W7">
        <v>4034</v>
      </c>
      <c r="X7">
        <v>2243</v>
      </c>
      <c r="Y7">
        <f t="shared" si="0"/>
        <v>-1.4612226050787887E-2</v>
      </c>
      <c r="Z7">
        <f t="shared" si="1"/>
        <v>-2.7898119895094751E-2</v>
      </c>
      <c r="AA7">
        <f t="shared" si="2"/>
        <v>-1.522077217812765E-2</v>
      </c>
      <c r="AB7">
        <f t="shared" si="3"/>
        <v>-1.0012511181050067E-2</v>
      </c>
      <c r="AD7">
        <f t="shared" si="4"/>
        <v>1.4989948827116521E-2</v>
      </c>
      <c r="AE7">
        <f t="shared" si="5"/>
        <v>1.4188330205826549E-2</v>
      </c>
      <c r="AW7">
        <f t="shared" si="6"/>
        <v>4.937627161922519E-4</v>
      </c>
      <c r="AX7">
        <f t="shared" si="7"/>
        <v>2.894255366853536E-4</v>
      </c>
      <c r="AZ7">
        <f t="shared" si="8"/>
        <v>6.3839282259940677E-5</v>
      </c>
      <c r="BA7">
        <f t="shared" si="9"/>
        <v>5.1672091147998358E-5</v>
      </c>
    </row>
    <row r="8" spans="1:61" ht="34" x14ac:dyDescent="0.2">
      <c r="A8" s="13">
        <v>7</v>
      </c>
      <c r="B8" t="s">
        <v>188</v>
      </c>
      <c r="C8" s="11" t="s">
        <v>177</v>
      </c>
      <c r="D8">
        <v>5.11E-2</v>
      </c>
      <c r="E8" t="s">
        <v>155</v>
      </c>
      <c r="F8">
        <v>100</v>
      </c>
      <c r="G8">
        <v>81.8</v>
      </c>
      <c r="H8">
        <v>20105</v>
      </c>
      <c r="I8">
        <v>4100</v>
      </c>
      <c r="J8">
        <v>10131</v>
      </c>
      <c r="K8" s="12">
        <v>6.0309999999999896E-9</v>
      </c>
      <c r="L8">
        <v>20</v>
      </c>
      <c r="M8">
        <v>1</v>
      </c>
      <c r="N8" t="s">
        <v>81</v>
      </c>
      <c r="O8">
        <v>20</v>
      </c>
      <c r="P8">
        <v>0.2</v>
      </c>
      <c r="Q8">
        <v>81.725967661855705</v>
      </c>
      <c r="R8">
        <v>2918</v>
      </c>
      <c r="S8">
        <v>1934</v>
      </c>
      <c r="T8">
        <v>2710</v>
      </c>
      <c r="U8">
        <v>19.878195488721801</v>
      </c>
      <c r="V8">
        <v>1967</v>
      </c>
      <c r="W8">
        <v>3251</v>
      </c>
      <c r="X8">
        <v>1284</v>
      </c>
      <c r="Y8">
        <f t="shared" si="0"/>
        <v>6.8762451922518272E-2</v>
      </c>
      <c r="Z8">
        <f t="shared" si="1"/>
        <v>8.1297996126010713E-2</v>
      </c>
      <c r="AA8">
        <f t="shared" si="2"/>
        <v>5.1142344656632317E-2</v>
      </c>
      <c r="AB8">
        <f t="shared" si="3"/>
        <v>8.5007416400197669E-2</v>
      </c>
      <c r="AD8">
        <f t="shared" si="4"/>
        <v>2.9245294574704549E-2</v>
      </c>
      <c r="AE8">
        <f t="shared" si="5"/>
        <v>3.5169184571234302E-2</v>
      </c>
      <c r="AW8">
        <f t="shared" si="6"/>
        <v>1.7930699453088855E-9</v>
      </c>
      <c r="AX8">
        <f t="shared" si="7"/>
        <v>1.1497128869363939E-3</v>
      </c>
      <c r="AZ8">
        <f t="shared" si="8"/>
        <v>4.776281492264384E-4</v>
      </c>
      <c r="BA8">
        <f t="shared" si="9"/>
        <v>2.5379088022539918E-4</v>
      </c>
    </row>
    <row r="9" spans="1:61" ht="34" x14ac:dyDescent="0.2">
      <c r="A9" s="13">
        <v>8</v>
      </c>
      <c r="B9" t="s">
        <v>185</v>
      </c>
      <c r="C9" s="11" t="s">
        <v>154</v>
      </c>
      <c r="D9">
        <v>0</v>
      </c>
      <c r="E9" t="s">
        <v>155</v>
      </c>
      <c r="F9">
        <v>2.6</v>
      </c>
      <c r="G9">
        <v>2.5</v>
      </c>
      <c r="H9">
        <v>20105</v>
      </c>
      <c r="I9">
        <v>4080</v>
      </c>
      <c r="J9">
        <v>5129</v>
      </c>
      <c r="K9" s="12">
        <v>1.049E-9</v>
      </c>
      <c r="L9">
        <v>20</v>
      </c>
      <c r="M9">
        <v>1</v>
      </c>
      <c r="N9" t="s">
        <v>81</v>
      </c>
      <c r="O9">
        <v>20</v>
      </c>
      <c r="P9">
        <v>0.2</v>
      </c>
      <c r="Q9">
        <v>2.4724777435929299</v>
      </c>
      <c r="R9">
        <v>1747</v>
      </c>
      <c r="S9">
        <v>1551</v>
      </c>
      <c r="T9">
        <v>1551</v>
      </c>
      <c r="U9">
        <v>35.921804511278197</v>
      </c>
      <c r="V9">
        <v>2470</v>
      </c>
      <c r="W9">
        <v>4095</v>
      </c>
      <c r="X9">
        <v>1625</v>
      </c>
      <c r="Y9">
        <f t="shared" si="0"/>
        <v>1.5481064833529148E-2</v>
      </c>
      <c r="Z9">
        <f t="shared" si="1"/>
        <v>-1.9160671295783218E-2</v>
      </c>
      <c r="AA9">
        <f t="shared" si="2"/>
        <v>8.7323587657513711E-3</v>
      </c>
      <c r="AB9">
        <f t="shared" si="3"/>
        <v>-2.4093860571584012E-3</v>
      </c>
      <c r="AD9">
        <f t="shared" si="4"/>
        <v>1.3169431618588386E-2</v>
      </c>
      <c r="AE9">
        <f t="shared" si="5"/>
        <v>-4.4513815214686225E-3</v>
      </c>
      <c r="AW9">
        <f t="shared" si="6"/>
        <v>7.6254089613794811E-5</v>
      </c>
      <c r="AX9">
        <f t="shared" si="7"/>
        <v>5.8051411724293063E-6</v>
      </c>
      <c r="AZ9">
        <f t="shared" si="8"/>
        <v>1.7343392915667553E-4</v>
      </c>
      <c r="BA9">
        <f t="shared" si="9"/>
        <v>1.9814797449672309E-5</v>
      </c>
    </row>
    <row r="10" spans="1:61" ht="34" x14ac:dyDescent="0.2">
      <c r="A10" s="13">
        <v>9</v>
      </c>
      <c r="B10" t="s">
        <v>186</v>
      </c>
      <c r="C10" s="11" t="s">
        <v>157</v>
      </c>
      <c r="D10">
        <v>7.3499999999999998E-3</v>
      </c>
      <c r="E10" t="s">
        <v>155</v>
      </c>
      <c r="F10">
        <v>100</v>
      </c>
      <c r="G10">
        <v>81.5</v>
      </c>
      <c r="H10">
        <v>20105</v>
      </c>
      <c r="I10">
        <v>4100</v>
      </c>
      <c r="J10">
        <v>10119</v>
      </c>
      <c r="K10" s="12">
        <v>6.0189999999999901E-9</v>
      </c>
      <c r="L10">
        <v>20</v>
      </c>
      <c r="M10">
        <v>1</v>
      </c>
      <c r="N10" t="s">
        <v>81</v>
      </c>
      <c r="O10">
        <v>20</v>
      </c>
      <c r="P10">
        <v>0.2</v>
      </c>
      <c r="Q10">
        <v>81.4010676647423</v>
      </c>
      <c r="R10">
        <v>2046</v>
      </c>
      <c r="S10">
        <v>1250</v>
      </c>
      <c r="T10">
        <v>1823</v>
      </c>
      <c r="U10">
        <v>28.6142857142857</v>
      </c>
      <c r="V10">
        <v>1306</v>
      </c>
      <c r="W10">
        <v>3598</v>
      </c>
      <c r="X10">
        <v>2292</v>
      </c>
      <c r="Y10">
        <f t="shared" si="0"/>
        <v>-8.0049272996065457E-2</v>
      </c>
      <c r="Z10">
        <f t="shared" si="1"/>
        <v>-5.1301675592195971E-2</v>
      </c>
      <c r="AA10">
        <f t="shared" si="2"/>
        <v>-6.7306207436318252E-2</v>
      </c>
      <c r="AB10">
        <f t="shared" si="3"/>
        <v>-3.0377742551114896E-2</v>
      </c>
      <c r="AD10">
        <f t="shared" si="4"/>
        <v>2.2403925511178598E-2</v>
      </c>
      <c r="AE10">
        <f t="shared" si="5"/>
        <v>1.3635769196720826E-2</v>
      </c>
      <c r="AW10">
        <f t="shared" si="6"/>
        <v>5.5735493087745802E-3</v>
      </c>
      <c r="AX10">
        <f t="shared" si="7"/>
        <v>1.4233825580032057E-3</v>
      </c>
      <c r="AZ10">
        <f t="shared" si="8"/>
        <v>2.2662067329611384E-4</v>
      </c>
      <c r="BA10">
        <f t="shared" si="9"/>
        <v>3.9510894394444384E-5</v>
      </c>
    </row>
    <row r="11" spans="1:61" ht="34" x14ac:dyDescent="0.2">
      <c r="A11" s="13">
        <v>66</v>
      </c>
      <c r="B11" t="s">
        <v>296</v>
      </c>
      <c r="C11" s="11" t="s">
        <v>286</v>
      </c>
      <c r="D11">
        <v>0.316</v>
      </c>
      <c r="E11" t="s">
        <v>282</v>
      </c>
      <c r="F11">
        <v>99.5</v>
      </c>
      <c r="G11">
        <v>79.7</v>
      </c>
      <c r="H11">
        <v>20105</v>
      </c>
      <c r="I11">
        <v>4100</v>
      </c>
      <c r="J11">
        <v>10050</v>
      </c>
      <c r="K11" s="12">
        <v>5.9500000000000003E-9</v>
      </c>
      <c r="L11">
        <v>20</v>
      </c>
      <c r="M11">
        <v>1</v>
      </c>
      <c r="N11" t="s">
        <v>81</v>
      </c>
      <c r="O11">
        <v>20</v>
      </c>
      <c r="P11">
        <v>0.2</v>
      </c>
      <c r="Q11">
        <v>79.5454505380754</v>
      </c>
      <c r="R11">
        <v>3715</v>
      </c>
      <c r="S11">
        <v>2163</v>
      </c>
      <c r="T11">
        <v>3511</v>
      </c>
      <c r="U11">
        <v>1.86992481203007</v>
      </c>
      <c r="V11">
        <v>2166</v>
      </c>
      <c r="W11">
        <v>2439</v>
      </c>
      <c r="X11">
        <v>273</v>
      </c>
      <c r="Y11">
        <f t="shared" si="0"/>
        <v>0.31231944556625379</v>
      </c>
      <c r="Z11">
        <f t="shared" si="1"/>
        <v>0.31269983945220636</v>
      </c>
      <c r="AA11">
        <f t="shared" si="2"/>
        <v>0.24500457738725875</v>
      </c>
      <c r="AB11">
        <f t="shared" si="3"/>
        <v>0.28636793357072177</v>
      </c>
      <c r="AD11">
        <f t="shared" si="4"/>
        <v>0.32534363890469686</v>
      </c>
      <c r="AE11">
        <f t="shared" si="5"/>
        <v>0.31411485191744681</v>
      </c>
      <c r="AW11">
        <f t="shared" si="6"/>
        <v>5.0403500319617317E-3</v>
      </c>
      <c r="AX11">
        <f t="shared" si="7"/>
        <v>8.7805936086915828E-4</v>
      </c>
      <c r="AZ11">
        <f t="shared" si="8"/>
        <v>8.7303587981364742E-5</v>
      </c>
      <c r="BA11">
        <f t="shared" si="9"/>
        <v>3.5537832931539678E-6</v>
      </c>
    </row>
    <row r="12" spans="1:61" ht="34" x14ac:dyDescent="0.2">
      <c r="A12" s="13">
        <v>67</v>
      </c>
      <c r="B12" t="s">
        <v>297</v>
      </c>
      <c r="C12" s="11" t="s">
        <v>288</v>
      </c>
      <c r="D12">
        <v>0.106</v>
      </c>
      <c r="E12" t="s">
        <v>282</v>
      </c>
      <c r="F12">
        <v>38.4</v>
      </c>
      <c r="G12">
        <v>24.6</v>
      </c>
      <c r="H12">
        <v>20105</v>
      </c>
      <c r="I12">
        <v>4100</v>
      </c>
      <c r="J12">
        <v>7404</v>
      </c>
      <c r="K12" s="12">
        <v>3.3039999999999898E-9</v>
      </c>
      <c r="L12">
        <v>20</v>
      </c>
      <c r="M12">
        <v>1</v>
      </c>
      <c r="N12" t="s">
        <v>81</v>
      </c>
      <c r="O12">
        <v>20</v>
      </c>
      <c r="P12">
        <v>0.2</v>
      </c>
      <c r="Q12">
        <v>24.527963533113599</v>
      </c>
      <c r="R12">
        <v>3282</v>
      </c>
      <c r="S12">
        <v>2490</v>
      </c>
      <c r="T12">
        <v>3090</v>
      </c>
      <c r="U12">
        <v>5.5233082706766901</v>
      </c>
      <c r="V12">
        <v>2490</v>
      </c>
      <c r="W12">
        <v>2859</v>
      </c>
      <c r="X12">
        <v>369</v>
      </c>
      <c r="Y12">
        <f t="shared" si="0"/>
        <v>0.16207195062390028</v>
      </c>
      <c r="Z12">
        <f t="shared" si="1"/>
        <v>0.14412694478879476</v>
      </c>
      <c r="AA12">
        <f t="shared" si="2"/>
        <v>0.12541320620161212</v>
      </c>
      <c r="AB12">
        <f t="shared" si="3"/>
        <v>0.13967971033773835</v>
      </c>
      <c r="AD12">
        <f t="shared" si="4"/>
        <v>7.3909746146820041E-2</v>
      </c>
      <c r="AE12">
        <f t="shared" si="5"/>
        <v>8.091492614115281E-2</v>
      </c>
      <c r="AW12">
        <f t="shared" si="6"/>
        <v>3.7687257502631123E-4</v>
      </c>
      <c r="AX12">
        <f t="shared" si="7"/>
        <v>1.1343228884339598E-3</v>
      </c>
      <c r="AZ12">
        <f t="shared" si="8"/>
        <v>1.029784392361531E-3</v>
      </c>
      <c r="BA12">
        <f t="shared" si="9"/>
        <v>6.292609305038185E-4</v>
      </c>
    </row>
    <row r="13" spans="1:61" ht="34" x14ac:dyDescent="0.2">
      <c r="A13" s="13">
        <v>68</v>
      </c>
      <c r="B13" t="s">
        <v>298</v>
      </c>
      <c r="C13" s="11" t="s">
        <v>290</v>
      </c>
      <c r="D13">
        <v>2.8400000000000002E-2</v>
      </c>
      <c r="E13" t="s">
        <v>282</v>
      </c>
      <c r="F13">
        <v>100</v>
      </c>
      <c r="G13">
        <v>81.8</v>
      </c>
      <c r="H13">
        <v>20105</v>
      </c>
      <c r="I13">
        <v>4100</v>
      </c>
      <c r="J13">
        <v>10130</v>
      </c>
      <c r="K13" s="12">
        <v>6.0300000000000001E-9</v>
      </c>
      <c r="L13">
        <v>20</v>
      </c>
      <c r="M13">
        <v>1</v>
      </c>
      <c r="N13" t="s">
        <v>81</v>
      </c>
      <c r="O13">
        <v>20</v>
      </c>
      <c r="P13">
        <v>0.2</v>
      </c>
      <c r="Q13">
        <v>81.698867946328804</v>
      </c>
      <c r="R13">
        <v>2587</v>
      </c>
      <c r="S13">
        <v>1695</v>
      </c>
      <c r="T13">
        <v>2371</v>
      </c>
      <c r="U13">
        <v>24.147368421052601</v>
      </c>
      <c r="V13">
        <v>1747</v>
      </c>
      <c r="W13">
        <v>3455</v>
      </c>
      <c r="X13">
        <v>1708</v>
      </c>
      <c r="Y13">
        <f t="shared" si="0"/>
        <v>7.9106644180221182E-3</v>
      </c>
      <c r="Z13">
        <f t="shared" si="1"/>
        <v>2.5477397447515586E-2</v>
      </c>
      <c r="AA13">
        <f t="shared" si="2"/>
        <v>2.7066039505896393E-3</v>
      </c>
      <c r="AB13">
        <f t="shared" si="3"/>
        <v>3.6433626074657818E-2</v>
      </c>
      <c r="AD13">
        <f t="shared" si="4"/>
        <v>1.1906575242751457E-2</v>
      </c>
      <c r="AE13">
        <f t="shared" si="5"/>
        <v>-3.5653048890624817E-3</v>
      </c>
      <c r="AW13">
        <f t="shared" si="6"/>
        <v>6.6015060055185594E-4</v>
      </c>
      <c r="AX13">
        <f t="shared" si="7"/>
        <v>6.453914790742196E-5</v>
      </c>
      <c r="AZ13">
        <f t="shared" si="8"/>
        <v>2.720330602230192E-4</v>
      </c>
      <c r="BA13">
        <f t="shared" si="9"/>
        <v>1.021780716650722E-3</v>
      </c>
    </row>
    <row r="14" spans="1:61" ht="34" x14ac:dyDescent="0.2">
      <c r="A14" s="13">
        <v>69</v>
      </c>
      <c r="B14" t="s">
        <v>299</v>
      </c>
      <c r="C14" s="11" t="s">
        <v>281</v>
      </c>
      <c r="D14">
        <v>1.7999999999999999E-2</v>
      </c>
      <c r="E14" t="s">
        <v>282</v>
      </c>
      <c r="F14">
        <v>45.8</v>
      </c>
      <c r="G14">
        <v>28.6</v>
      </c>
      <c r="H14">
        <v>20105</v>
      </c>
      <c r="I14">
        <v>4111</v>
      </c>
      <c r="J14">
        <v>7485</v>
      </c>
      <c r="K14" s="12">
        <v>3.3740000000000001E-9</v>
      </c>
      <c r="L14">
        <v>20</v>
      </c>
      <c r="M14">
        <v>1</v>
      </c>
      <c r="N14" t="s">
        <v>81</v>
      </c>
      <c r="O14">
        <v>20</v>
      </c>
      <c r="P14">
        <v>0.2</v>
      </c>
      <c r="Q14">
        <v>25.578293772744399</v>
      </c>
      <c r="R14">
        <v>2267</v>
      </c>
      <c r="S14">
        <v>2002</v>
      </c>
      <c r="T14">
        <v>2059</v>
      </c>
      <c r="U14">
        <v>26.981203007518801</v>
      </c>
      <c r="V14">
        <v>2038</v>
      </c>
      <c r="W14">
        <v>3790</v>
      </c>
      <c r="X14">
        <v>1752</v>
      </c>
      <c r="Y14">
        <f t="shared" si="0"/>
        <v>1.7253436096026468E-2</v>
      </c>
      <c r="Z14">
        <f t="shared" si="1"/>
        <v>2.6918761827341084E-3</v>
      </c>
      <c r="AA14">
        <f t="shared" si="2"/>
        <v>1.0143099820791352E-2</v>
      </c>
      <c r="AB14">
        <f t="shared" si="3"/>
        <v>1.6606193933554472E-2</v>
      </c>
      <c r="AD14">
        <f t="shared" si="4"/>
        <v>1.0871418517387259E-2</v>
      </c>
      <c r="AE14">
        <f t="shared" si="5"/>
        <v>3.8145835621794522E-2</v>
      </c>
      <c r="AW14">
        <f t="shared" si="6"/>
        <v>6.1730880426048859E-5</v>
      </c>
      <c r="AX14">
        <f t="shared" si="7"/>
        <v>1.9426953508603529E-6</v>
      </c>
      <c r="AZ14">
        <f t="shared" si="8"/>
        <v>5.081667395424925E-5</v>
      </c>
      <c r="BA14">
        <f t="shared" si="9"/>
        <v>4.058546929003651E-4</v>
      </c>
    </row>
    <row r="15" spans="1:61" ht="34" x14ac:dyDescent="0.2">
      <c r="A15" s="13">
        <v>111</v>
      </c>
      <c r="B15" t="s">
        <v>343</v>
      </c>
      <c r="C15" s="11" t="s">
        <v>344</v>
      </c>
      <c r="D15">
        <v>0.24099999999999999</v>
      </c>
      <c r="E15" t="s">
        <v>345</v>
      </c>
      <c r="F15">
        <v>100</v>
      </c>
      <c r="G15">
        <v>81.2</v>
      </c>
      <c r="H15">
        <v>20105</v>
      </c>
      <c r="I15">
        <v>4100</v>
      </c>
      <c r="J15">
        <v>10109</v>
      </c>
      <c r="K15" s="12">
        <v>6.0089999999999903E-9</v>
      </c>
      <c r="L15">
        <v>20</v>
      </c>
      <c r="M15">
        <v>1</v>
      </c>
      <c r="N15" t="s">
        <v>81</v>
      </c>
      <c r="O15">
        <v>20</v>
      </c>
      <c r="P15">
        <v>0.2</v>
      </c>
      <c r="Q15">
        <v>81.130811982496098</v>
      </c>
      <c r="R15">
        <v>3634</v>
      </c>
      <c r="S15">
        <v>2175</v>
      </c>
      <c r="T15">
        <v>3442</v>
      </c>
      <c r="U15">
        <v>3.8631578947368399</v>
      </c>
      <c r="V15">
        <v>2175</v>
      </c>
      <c r="W15">
        <v>2518</v>
      </c>
      <c r="X15">
        <v>343</v>
      </c>
      <c r="Y15">
        <f t="shared" si="0"/>
        <v>0.28173466195724284</v>
      </c>
      <c r="Z15">
        <f t="shared" si="1"/>
        <v>0.28367209488801381</v>
      </c>
      <c r="AA15">
        <f t="shared" si="2"/>
        <v>0.22066023666716036</v>
      </c>
      <c r="AB15">
        <f t="shared" si="3"/>
        <v>0.26110866349005857</v>
      </c>
      <c r="AD15">
        <f t="shared" si="4"/>
        <v>0.26838215400803561</v>
      </c>
      <c r="AE15">
        <f t="shared" si="5"/>
        <v>0.25611277155227041</v>
      </c>
      <c r="AW15">
        <f t="shared" si="6"/>
        <v>4.1370597243592741E-4</v>
      </c>
      <c r="AX15">
        <f t="shared" si="7"/>
        <v>4.0435834735641474E-4</v>
      </c>
      <c r="AZ15">
        <f t="shared" si="8"/>
        <v>7.4978235811978117E-4</v>
      </c>
      <c r="BA15">
        <f t="shared" si="9"/>
        <v>2.2839586399111411E-4</v>
      </c>
    </row>
    <row r="16" spans="1:61" ht="34" x14ac:dyDescent="0.2">
      <c r="A16" s="13">
        <v>112</v>
      </c>
      <c r="B16" t="s">
        <v>346</v>
      </c>
      <c r="C16" s="11" t="s">
        <v>347</v>
      </c>
      <c r="D16">
        <v>0.28199999999999997</v>
      </c>
      <c r="E16" t="s">
        <v>345</v>
      </c>
      <c r="F16">
        <v>100</v>
      </c>
      <c r="G16">
        <v>81</v>
      </c>
      <c r="H16">
        <v>20105</v>
      </c>
      <c r="I16">
        <v>4100</v>
      </c>
      <c r="J16">
        <v>10101</v>
      </c>
      <c r="K16" s="12">
        <v>6.0010000000000003E-9</v>
      </c>
      <c r="L16">
        <v>20</v>
      </c>
      <c r="M16">
        <v>1</v>
      </c>
      <c r="N16" t="s">
        <v>81</v>
      </c>
      <c r="O16">
        <v>20</v>
      </c>
      <c r="P16">
        <v>0.2</v>
      </c>
      <c r="Q16">
        <v>80.914930988563597</v>
      </c>
      <c r="R16">
        <v>3687</v>
      </c>
      <c r="S16">
        <v>2170</v>
      </c>
      <c r="T16">
        <v>3490</v>
      </c>
      <c r="U16">
        <v>2.65864661654135</v>
      </c>
      <c r="V16">
        <v>2170</v>
      </c>
      <c r="W16">
        <v>2463</v>
      </c>
      <c r="X16">
        <v>293</v>
      </c>
      <c r="Y16">
        <f t="shared" si="0"/>
        <v>0.30463699689074097</v>
      </c>
      <c r="Z16">
        <f t="shared" si="1"/>
        <v>0.30554082059150245</v>
      </c>
      <c r="AA16">
        <f t="shared" si="2"/>
        <v>0.23888963635932053</v>
      </c>
      <c r="AB16">
        <f t="shared" si="3"/>
        <v>0.28013832139692063</v>
      </c>
      <c r="AD16">
        <f t="shared" si="4"/>
        <v>0.31076724773226244</v>
      </c>
      <c r="AE16">
        <f t="shared" si="5"/>
        <v>0.2983257562764261</v>
      </c>
      <c r="AW16">
        <f t="shared" si="6"/>
        <v>1.8585034532316157E-3</v>
      </c>
      <c r="AX16">
        <f t="shared" si="7"/>
        <v>3.4658472211634503E-6</v>
      </c>
      <c r="AZ16">
        <f t="shared" si="8"/>
        <v>8.2755454208936015E-4</v>
      </c>
      <c r="BA16">
        <f t="shared" si="9"/>
        <v>2.6653031799726715E-4</v>
      </c>
    </row>
    <row r="17" spans="1:53" ht="34" x14ac:dyDescent="0.2">
      <c r="A17" s="13">
        <v>113</v>
      </c>
      <c r="B17" t="s">
        <v>348</v>
      </c>
      <c r="C17" s="11" t="s">
        <v>349</v>
      </c>
      <c r="D17">
        <v>0.25800000000000001</v>
      </c>
      <c r="E17" t="s">
        <v>345</v>
      </c>
      <c r="F17">
        <v>100</v>
      </c>
      <c r="G17">
        <v>81.8</v>
      </c>
      <c r="H17">
        <v>20105</v>
      </c>
      <c r="I17">
        <v>4100</v>
      </c>
      <c r="J17">
        <v>10129</v>
      </c>
      <c r="K17" s="12">
        <v>6.0289999999999898E-9</v>
      </c>
      <c r="L17">
        <v>20</v>
      </c>
      <c r="M17">
        <v>1</v>
      </c>
      <c r="N17" t="s">
        <v>81</v>
      </c>
      <c r="O17">
        <v>20</v>
      </c>
      <c r="P17">
        <v>0.2</v>
      </c>
      <c r="Q17">
        <v>81.671772724577806</v>
      </c>
      <c r="R17">
        <v>3666</v>
      </c>
      <c r="S17">
        <v>2171</v>
      </c>
      <c r="T17">
        <v>3458</v>
      </c>
      <c r="U17">
        <v>3.3293233082706699</v>
      </c>
      <c r="V17">
        <v>2179</v>
      </c>
      <c r="W17">
        <v>2491</v>
      </c>
      <c r="X17">
        <v>312</v>
      </c>
      <c r="Y17">
        <f t="shared" si="0"/>
        <v>0.29719899477753842</v>
      </c>
      <c r="Z17">
        <f>AB17*$AO$2+$AP$2</f>
        <v>0.2983844298482452</v>
      </c>
      <c r="AA17">
        <f t="shared" si="2"/>
        <v>0.23296926562740974</v>
      </c>
      <c r="AB17">
        <f t="shared" si="3"/>
        <v>0.27391099614996789</v>
      </c>
      <c r="AD17">
        <f t="shared" si="4"/>
        <v>0.29654182041080518</v>
      </c>
      <c r="AE17">
        <f t="shared" si="5"/>
        <v>0.28033418017988154</v>
      </c>
      <c r="AW17">
        <f t="shared" si="6"/>
        <v>6.2653766323117162E-4</v>
      </c>
      <c r="AX17">
        <f t="shared" si="7"/>
        <v>2.5315979848429277E-4</v>
      </c>
      <c r="AZ17">
        <f t="shared" si="8"/>
        <v>1.4854719205787581E-3</v>
      </c>
      <c r="BA17">
        <f t="shared" si="9"/>
        <v>4.9881560430741325E-4</v>
      </c>
    </row>
    <row r="18" spans="1:53" ht="34" x14ac:dyDescent="0.2">
      <c r="A18" s="13">
        <v>114</v>
      </c>
      <c r="B18" t="s">
        <v>350</v>
      </c>
      <c r="C18" s="11" t="s">
        <v>351</v>
      </c>
      <c r="D18">
        <v>0.15670000000000001</v>
      </c>
      <c r="E18" t="s">
        <v>345</v>
      </c>
      <c r="F18">
        <v>100</v>
      </c>
      <c r="G18">
        <v>81.2</v>
      </c>
      <c r="H18">
        <v>20105</v>
      </c>
      <c r="I18">
        <v>4100</v>
      </c>
      <c r="J18">
        <v>10107</v>
      </c>
      <c r="K18" s="12">
        <v>6.0069999999999996E-9</v>
      </c>
      <c r="L18">
        <v>20</v>
      </c>
      <c r="M18">
        <v>1</v>
      </c>
      <c r="N18" t="s">
        <v>81</v>
      </c>
      <c r="O18">
        <v>20</v>
      </c>
      <c r="P18">
        <v>0.2</v>
      </c>
      <c r="Q18">
        <v>81.076814771357704</v>
      </c>
      <c r="R18">
        <v>3499</v>
      </c>
      <c r="S18">
        <v>2175</v>
      </c>
      <c r="T18">
        <v>3291</v>
      </c>
      <c r="U18">
        <v>7.6496240601503702</v>
      </c>
      <c r="V18">
        <v>2186</v>
      </c>
      <c r="W18">
        <v>2686</v>
      </c>
      <c r="X18">
        <v>500</v>
      </c>
      <c r="Y18">
        <f t="shared" si="0"/>
        <v>0.2258525321604439</v>
      </c>
      <c r="Z18">
        <f t="shared" si="1"/>
        <v>0.22992130395975044</v>
      </c>
      <c r="AA18">
        <f t="shared" si="2"/>
        <v>0.17618015711749743</v>
      </c>
      <c r="AB18">
        <f t="shared" si="3"/>
        <v>0.21433597186381781</v>
      </c>
      <c r="AD18">
        <f t="shared" si="4"/>
        <v>0.1779168234115881</v>
      </c>
      <c r="AE18">
        <f t="shared" si="5"/>
        <v>0.17986916056472158</v>
      </c>
      <c r="AW18">
        <f t="shared" si="6"/>
        <v>3.7947652132238566E-4</v>
      </c>
      <c r="AX18">
        <f t="shared" si="7"/>
        <v>3.3219052526867973E-3</v>
      </c>
      <c r="AZ18">
        <f t="shared" si="8"/>
        <v>4.501535956785126E-4</v>
      </c>
      <c r="BA18">
        <f t="shared" si="9"/>
        <v>5.3681000127384906E-4</v>
      </c>
    </row>
    <row r="19" spans="1:53" x14ac:dyDescent="0.2">
      <c r="A19" s="13"/>
      <c r="C19" s="11"/>
      <c r="K19" s="12"/>
      <c r="AW19">
        <f t="shared" si="6"/>
        <v>0</v>
      </c>
      <c r="AX19">
        <f t="shared" si="7"/>
        <v>0</v>
      </c>
      <c r="AZ19">
        <f t="shared" si="8"/>
        <v>0</v>
      </c>
      <c r="BA19">
        <f t="shared" si="9"/>
        <v>0</v>
      </c>
    </row>
    <row r="22" spans="1:53" x14ac:dyDescent="0.2">
      <c r="AD22" t="s">
        <v>37</v>
      </c>
      <c r="AE22" s="14" t="s">
        <v>37</v>
      </c>
    </row>
    <row r="23" spans="1:53" x14ac:dyDescent="0.2">
      <c r="AD23">
        <f>RSQ(D2:D18,AD2:AD18)</f>
        <v>0.97703506134957463</v>
      </c>
      <c r="AE23" s="14">
        <f>RSQ(D2:D19,AE2:AE19)</f>
        <v>0.98531363662826188</v>
      </c>
    </row>
    <row r="24" spans="1:53" x14ac:dyDescent="0.2">
      <c r="AE24" s="14"/>
    </row>
    <row r="25" spans="1:53" x14ac:dyDescent="0.2">
      <c r="AD25" t="s">
        <v>403</v>
      </c>
      <c r="AE25" s="14" t="s">
        <v>403</v>
      </c>
    </row>
    <row r="26" spans="1:53" x14ac:dyDescent="0.2">
      <c r="AD26">
        <f>AVERAGE(AZ2:AZ19)^0.5</f>
        <v>2.2402672132176692E-2</v>
      </c>
      <c r="AE26" s="14">
        <f>AVERAGE(BA2:BA19)^0.5</f>
        <v>1.7927741935093684E-2</v>
      </c>
    </row>
    <row r="27" spans="1:53" x14ac:dyDescent="0.2">
      <c r="AE27" s="1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C230-743A-5C4F-8C8E-CB0778F17974}">
  <dimension ref="C4:G18"/>
  <sheetViews>
    <sheetView topLeftCell="A12" workbookViewId="0">
      <selection activeCell="F18" sqref="F18"/>
    </sheetView>
  </sheetViews>
  <sheetFormatPr baseColWidth="10" defaultRowHeight="16" x14ac:dyDescent="0.2"/>
  <cols>
    <col min="4" max="4" width="16.5" customWidth="1"/>
    <col min="5" max="5" width="9" customWidth="1"/>
  </cols>
  <sheetData>
    <row r="4" spans="3:7" ht="37" customHeight="1" x14ac:dyDescent="0.2">
      <c r="C4" s="4" t="s">
        <v>94</v>
      </c>
      <c r="D4" s="4" t="s">
        <v>97</v>
      </c>
      <c r="E4" s="17" t="s">
        <v>110</v>
      </c>
      <c r="F4" s="18" t="s">
        <v>244</v>
      </c>
      <c r="G4" s="5"/>
    </row>
    <row r="5" spans="3:7" ht="29" customHeight="1" x14ac:dyDescent="0.2">
      <c r="C5" s="4">
        <v>1</v>
      </c>
      <c r="D5" s="3" t="s">
        <v>98</v>
      </c>
      <c r="E5" s="4">
        <v>7.9600000000000004E-2</v>
      </c>
      <c r="F5" s="3">
        <v>8.0199999999999994E-2</v>
      </c>
    </row>
    <row r="6" spans="3:7" ht="34" customHeight="1" x14ac:dyDescent="0.2">
      <c r="C6" s="3" t="s">
        <v>67</v>
      </c>
      <c r="D6" s="3"/>
      <c r="E6" s="3">
        <v>5.11E-2</v>
      </c>
      <c r="F6" s="3">
        <v>5.11E-2</v>
      </c>
    </row>
    <row r="7" spans="3:7" ht="33" customHeight="1" x14ac:dyDescent="0.2">
      <c r="C7" s="3" t="s">
        <v>85</v>
      </c>
      <c r="D7" s="3"/>
      <c r="E7" s="3">
        <v>0.42399999999999999</v>
      </c>
      <c r="F7" s="3">
        <v>0.42499999999999999</v>
      </c>
    </row>
    <row r="8" spans="3:7" ht="38" customHeight="1" x14ac:dyDescent="0.2">
      <c r="C8" s="4">
        <v>2</v>
      </c>
      <c r="D8" s="3" t="s">
        <v>99</v>
      </c>
      <c r="E8" s="4">
        <v>0.1552</v>
      </c>
      <c r="F8" s="3">
        <v>0.15679999999999999</v>
      </c>
      <c r="G8" s="5"/>
    </row>
    <row r="9" spans="3:7" ht="38" customHeight="1" x14ac:dyDescent="0.2">
      <c r="C9" s="4">
        <v>3</v>
      </c>
      <c r="D9" s="3" t="s">
        <v>95</v>
      </c>
      <c r="E9" s="4"/>
      <c r="F9" s="3">
        <v>0.59199999999999997</v>
      </c>
    </row>
    <row r="10" spans="3:7" ht="50" customHeight="1" x14ac:dyDescent="0.2">
      <c r="C10" s="3">
        <v>4</v>
      </c>
      <c r="D10" s="3" t="s">
        <v>100</v>
      </c>
      <c r="E10" s="3"/>
      <c r="F10" s="3">
        <v>0.316</v>
      </c>
    </row>
    <row r="11" spans="3:7" ht="40" customHeight="1" x14ac:dyDescent="0.2">
      <c r="C11" s="4">
        <v>5</v>
      </c>
      <c r="D11" s="3" t="s">
        <v>90</v>
      </c>
      <c r="E11" s="4">
        <v>7.3499999999999998E-3</v>
      </c>
      <c r="F11" s="3">
        <v>7.2199999999999999E-3</v>
      </c>
      <c r="G11" s="5"/>
    </row>
    <row r="12" spans="3:7" ht="41" customHeight="1" x14ac:dyDescent="0.2">
      <c r="C12" s="4">
        <v>6</v>
      </c>
      <c r="D12" s="3" t="s">
        <v>101</v>
      </c>
      <c r="E12" s="4">
        <v>0.41399999999999998</v>
      </c>
      <c r="F12" s="3">
        <v>0.41399999999999998</v>
      </c>
      <c r="G12" s="5"/>
    </row>
    <row r="13" spans="3:7" ht="46" customHeight="1" x14ac:dyDescent="0.2">
      <c r="C13" s="4">
        <v>7</v>
      </c>
      <c r="D13" s="3" t="s">
        <v>102</v>
      </c>
      <c r="E13" s="4">
        <v>0.437</v>
      </c>
      <c r="F13" s="3">
        <v>0.437</v>
      </c>
      <c r="G13" s="5"/>
    </row>
    <row r="14" spans="3:7" ht="33" customHeight="1" x14ac:dyDescent="0.2">
      <c r="C14" s="3">
        <v>8</v>
      </c>
      <c r="D14" s="3" t="s">
        <v>103</v>
      </c>
      <c r="E14" s="3"/>
      <c r="F14" s="3">
        <v>2.8400000000000002E-2</v>
      </c>
    </row>
    <row r="15" spans="3:7" ht="32" customHeight="1" x14ac:dyDescent="0.2">
      <c r="C15" s="4">
        <v>9</v>
      </c>
      <c r="D15" s="3" t="s">
        <v>104</v>
      </c>
      <c r="E15" s="4"/>
      <c r="F15" s="3">
        <v>5.9400000000000001E-2</v>
      </c>
    </row>
    <row r="16" spans="3:7" ht="43" customHeight="1" x14ac:dyDescent="0.2">
      <c r="C16" s="4">
        <v>10</v>
      </c>
      <c r="D16" s="3" t="s">
        <v>105</v>
      </c>
      <c r="E16" s="4">
        <v>2.0500000000000001E-2</v>
      </c>
      <c r="F16" s="3">
        <v>0.19900000000000001</v>
      </c>
      <c r="G16" s="5"/>
    </row>
    <row r="17" spans="3:6" ht="34" customHeight="1" x14ac:dyDescent="0.2">
      <c r="C17" s="4">
        <v>11</v>
      </c>
      <c r="D17" s="3" t="s">
        <v>80</v>
      </c>
      <c r="E17" s="4"/>
      <c r="F17" s="3">
        <v>0</v>
      </c>
    </row>
    <row r="18" spans="3:6" ht="25" customHeight="1" x14ac:dyDescent="0.2">
      <c r="C18" s="3">
        <v>12</v>
      </c>
      <c r="D18" s="3" t="s">
        <v>106</v>
      </c>
      <c r="E18" s="3"/>
      <c r="F18" s="3">
        <v>0.41299999999999998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D135-9E84-FE41-BE0C-8E65064F05DC}">
  <dimension ref="A1:BI27"/>
  <sheetViews>
    <sheetView topLeftCell="W12" zoomScale="110" zoomScaleNormal="110" workbookViewId="0">
      <selection activeCell="AF27" sqref="AF27"/>
    </sheetView>
  </sheetViews>
  <sheetFormatPr baseColWidth="10" defaultRowHeight="16" x14ac:dyDescent="0.2"/>
  <cols>
    <col min="27" max="27" width="12.6640625" customWidth="1"/>
    <col min="28" max="28" width="14.1640625" customWidth="1"/>
    <col min="31" max="31" width="12.5" bestFit="1" customWidth="1"/>
    <col min="35" max="35" width="12.6640625" customWidth="1"/>
    <col min="52" max="52" width="11.1640625" bestFit="1" customWidth="1"/>
    <col min="53" max="53" width="12.5" bestFit="1" customWidth="1"/>
  </cols>
  <sheetData>
    <row r="1" spans="1:61" x14ac:dyDescent="0.2">
      <c r="B1" t="s">
        <v>134</v>
      </c>
      <c r="C1" t="s">
        <v>135</v>
      </c>
      <c r="D1" t="s">
        <v>137</v>
      </c>
      <c r="E1" t="s">
        <v>136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131</v>
      </c>
      <c r="Q1" t="s">
        <v>148</v>
      </c>
      <c r="R1" t="s">
        <v>21</v>
      </c>
      <c r="S1" t="s">
        <v>149</v>
      </c>
      <c r="T1" t="s">
        <v>22</v>
      </c>
      <c r="U1" t="s">
        <v>150</v>
      </c>
      <c r="V1" t="s">
        <v>24</v>
      </c>
      <c r="W1" t="s">
        <v>25</v>
      </c>
      <c r="X1" t="s">
        <v>27</v>
      </c>
      <c r="Y1" t="s">
        <v>389</v>
      </c>
      <c r="Z1" t="s">
        <v>390</v>
      </c>
      <c r="AA1" t="s">
        <v>387</v>
      </c>
      <c r="AB1" t="s">
        <v>388</v>
      </c>
      <c r="AC1" t="s">
        <v>391</v>
      </c>
      <c r="AD1" t="s">
        <v>392</v>
      </c>
      <c r="AE1" t="s">
        <v>400</v>
      </c>
      <c r="AI1" t="s">
        <v>374</v>
      </c>
      <c r="AJ1" t="s">
        <v>375</v>
      </c>
      <c r="AK1" t="s">
        <v>39</v>
      </c>
      <c r="AL1" t="s">
        <v>379</v>
      </c>
      <c r="AM1" t="s">
        <v>382</v>
      </c>
      <c r="AN1" t="s">
        <v>383</v>
      </c>
      <c r="AO1" t="s">
        <v>384</v>
      </c>
      <c r="AP1" t="s">
        <v>385</v>
      </c>
      <c r="AS1" t="s">
        <v>380</v>
      </c>
      <c r="AT1" t="s">
        <v>381</v>
      </c>
      <c r="AU1" t="s">
        <v>241</v>
      </c>
      <c r="AW1" t="s">
        <v>393</v>
      </c>
      <c r="AX1" t="s">
        <v>394</v>
      </c>
      <c r="AY1" t="s">
        <v>395</v>
      </c>
      <c r="AZ1" t="s">
        <v>396</v>
      </c>
      <c r="BA1" t="s">
        <v>402</v>
      </c>
      <c r="BB1" t="s">
        <v>148</v>
      </c>
      <c r="BC1" t="s">
        <v>21</v>
      </c>
      <c r="BD1" t="s">
        <v>24</v>
      </c>
      <c r="BE1" t="s">
        <v>25</v>
      </c>
      <c r="BF1" t="s">
        <v>27</v>
      </c>
      <c r="BG1" t="s">
        <v>150</v>
      </c>
      <c r="BH1" t="s">
        <v>386</v>
      </c>
      <c r="BI1" t="s">
        <v>401</v>
      </c>
    </row>
    <row r="2" spans="1:61" ht="34" x14ac:dyDescent="0.2">
      <c r="A2" s="13">
        <v>19</v>
      </c>
      <c r="B2" t="s">
        <v>200</v>
      </c>
      <c r="C2" s="11" t="s">
        <v>184</v>
      </c>
      <c r="D2">
        <v>0.437</v>
      </c>
      <c r="E2" t="s">
        <v>155</v>
      </c>
      <c r="F2">
        <v>80.3</v>
      </c>
      <c r="G2">
        <v>59.6</v>
      </c>
      <c r="H2">
        <v>28985</v>
      </c>
      <c r="I2">
        <v>4100</v>
      </c>
      <c r="J2">
        <v>6438</v>
      </c>
      <c r="K2" s="12">
        <v>2.338E-9</v>
      </c>
      <c r="L2">
        <v>20</v>
      </c>
      <c r="M2">
        <v>1</v>
      </c>
      <c r="N2" t="s">
        <v>81</v>
      </c>
      <c r="O2">
        <v>7.8</v>
      </c>
      <c r="P2">
        <v>7.8E-2</v>
      </c>
      <c r="Q2">
        <v>80.749755148570898</v>
      </c>
      <c r="R2">
        <v>3643</v>
      </c>
      <c r="S2">
        <v>2295</v>
      </c>
      <c r="T2">
        <v>3539</v>
      </c>
      <c r="U2">
        <v>3.6375939849623999</v>
      </c>
      <c r="V2">
        <v>2298</v>
      </c>
      <c r="W2">
        <v>2527</v>
      </c>
      <c r="X2">
        <v>229</v>
      </c>
      <c r="Y2">
        <f>AA2*$AM$2+$AN$2</f>
        <v>0.41097750762080121</v>
      </c>
      <c r="Z2">
        <f>AB2*$AO$2+$AP$2</f>
        <v>0.41440794911702977</v>
      </c>
      <c r="AA2">
        <f>((Q2^0.5)/(120*3.1415*P2))*LN($AI$2*V2/X2)</f>
        <v>0.7047427919081406</v>
      </c>
      <c r="AB2">
        <f>((Q2^0.5)/(120*3.14*P2))*LN((V2*($AJ$2*R2-V2))/(R2*X2))</f>
        <v>0.80115421374128137</v>
      </c>
      <c r="AC2">
        <f>$AS$2*AA2^2+$AT$2*AA2+$AU$2</f>
        <v>1.0300412381625899</v>
      </c>
      <c r="AD2">
        <f>$AS$3*AB2^2+$AT$3*AB2+$AU$3</f>
        <v>0.43045232748966666</v>
      </c>
      <c r="AE2">
        <f>$BB$2*Q2+$BC$2*R2+$BD$2*V2+$BE$2*W2+$BF$2*X2+$BG$2*U2+$BH$2*AD2+$BI$2</f>
        <v>0.43209027676421241</v>
      </c>
      <c r="AH2" t="s">
        <v>376</v>
      </c>
      <c r="AI2">
        <v>1</v>
      </c>
      <c r="AJ2">
        <v>2</v>
      </c>
      <c r="AK2">
        <f>RSQ(AA2:AA115,D2:D115)</f>
        <v>0.93741838494398277</v>
      </c>
      <c r="AL2">
        <f>RSQ(AB2:AB115,D2:D115)</f>
        <v>0.95858058957308279</v>
      </c>
      <c r="AM2">
        <f>SLOPE(D2:D19,AA2:AA19)</f>
        <v>0.48997641068225767</v>
      </c>
      <c r="AN2">
        <f>INTERCEPT(D2:D19,AA2:AA19)</f>
        <v>6.5670163987457231E-2</v>
      </c>
      <c r="AO2">
        <f>SLOPE(D2:D19,AB2:AB19)</f>
        <v>0.48118932522733715</v>
      </c>
      <c r="AP2">
        <f>INTERCEPT(D2:D19,AB2:AB19)</f>
        <v>2.8901093603824757E-2</v>
      </c>
      <c r="AR2" t="s">
        <v>35</v>
      </c>
      <c r="AS2">
        <v>1.4653</v>
      </c>
      <c r="AT2">
        <v>0.40310000000000001</v>
      </c>
      <c r="AU2">
        <v>1.8200000000000001E-2</v>
      </c>
      <c r="AW2">
        <f>(AA2-D2)^2</f>
        <v>7.1686202618765876E-2</v>
      </c>
      <c r="AX2">
        <f>(AB2-D2)^2</f>
        <v>0.13260829138553085</v>
      </c>
      <c r="AZ2">
        <f>(AD2-D2)^2</f>
        <v>4.2872015302574846E-5</v>
      </c>
      <c r="BA2">
        <f>(D2-AE2)^2</f>
        <v>2.4105382252032548E-5</v>
      </c>
      <c r="BB2">
        <v>-1.8699999999999999E-4</v>
      </c>
      <c r="BC2">
        <v>1.1E-5</v>
      </c>
      <c r="BD2">
        <v>-4.0000000000000003E-5</v>
      </c>
      <c r="BE2">
        <v>-3.3000000000000003E-5</v>
      </c>
      <c r="BF2">
        <v>6.9999999999999999E-6</v>
      </c>
      <c r="BG2">
        <v>-1.0740000000000001E-3</v>
      </c>
      <c r="BH2">
        <v>0.92832499999999996</v>
      </c>
      <c r="BI2">
        <v>0.18513260000000001</v>
      </c>
    </row>
    <row r="3" spans="1:61" ht="34" x14ac:dyDescent="0.2">
      <c r="A3" s="13">
        <v>20</v>
      </c>
      <c r="B3" t="s">
        <v>199</v>
      </c>
      <c r="C3" s="11" t="s">
        <v>182</v>
      </c>
      <c r="D3">
        <v>0.42399999999999999</v>
      </c>
      <c r="E3" t="s">
        <v>155</v>
      </c>
      <c r="F3">
        <v>82</v>
      </c>
      <c r="G3">
        <v>61.8</v>
      </c>
      <c r="H3">
        <v>28985</v>
      </c>
      <c r="I3">
        <v>4142</v>
      </c>
      <c r="J3">
        <v>6476</v>
      </c>
      <c r="K3" s="12">
        <v>2.334E-9</v>
      </c>
      <c r="L3">
        <v>20</v>
      </c>
      <c r="M3">
        <v>1</v>
      </c>
      <c r="N3" t="s">
        <v>81</v>
      </c>
      <c r="O3">
        <v>7.8</v>
      </c>
      <c r="P3">
        <v>7.8E-2</v>
      </c>
      <c r="Q3">
        <v>80.473687811617694</v>
      </c>
      <c r="R3">
        <v>3638</v>
      </c>
      <c r="S3">
        <v>2291</v>
      </c>
      <c r="T3">
        <v>3507</v>
      </c>
      <c r="U3">
        <v>3.7646616541353302</v>
      </c>
      <c r="V3">
        <v>2294</v>
      </c>
      <c r="W3">
        <v>2535</v>
      </c>
      <c r="X3">
        <v>241</v>
      </c>
      <c r="Y3">
        <f t="shared" ref="Y3:Y19" si="0">AA3*$AM$2+$AN$2</f>
        <v>0.40249152371892039</v>
      </c>
      <c r="Z3">
        <f t="shared" ref="Z3:Z19" si="1">AB3*$AO$2+$AP$2</f>
        <v>0.40601601834869749</v>
      </c>
      <c r="AA3">
        <f t="shared" ref="AA3:AA19" si="2">((Q3^0.5)/(120*3.1415*P3))*LN($AI$2*V3/X3)</f>
        <v>0.68742362364437737</v>
      </c>
      <c r="AB3">
        <f t="shared" ref="AB3:AB19" si="3">((Q3^0.5)/(120*3.14*P3))*LN((V3*($AJ$2*R3-V3))/(R3*X3))</f>
        <v>0.78371423673354634</v>
      </c>
      <c r="AD3">
        <f t="shared" ref="AD3:AD19" si="4">$AS$3*AB3^2+$AT$3*AB3+$AU$3</f>
        <v>0.41765957641075213</v>
      </c>
      <c r="AE3">
        <f t="shared" ref="AE3:AE19" si="5">$BB$2*Q3+$BC$2*R3+$BD$2*V3+$BE$2*W3+$BF$2*X3+$BG$2*U3+$BH$2*AD3+$BI$2</f>
        <v>0.42005460003419759</v>
      </c>
      <c r="AI3" t="s">
        <v>398</v>
      </c>
      <c r="AJ3" t="s">
        <v>397</v>
      </c>
      <c r="AL3" t="s">
        <v>399</v>
      </c>
      <c r="AR3" t="s">
        <v>227</v>
      </c>
      <c r="AS3">
        <v>0.30199999999999999</v>
      </c>
      <c r="AT3">
        <v>0.25490000000000002</v>
      </c>
      <c r="AU3">
        <v>3.2399999999999998E-2</v>
      </c>
      <c r="AW3">
        <f t="shared" ref="AW3:AW19" si="6">(AA3-D3)^2</f>
        <v>6.939200549393458E-2</v>
      </c>
      <c r="AX3">
        <f t="shared" ref="AX3:AX19" si="7">(AB3-D3)^2</f>
        <v>0.12939433210879783</v>
      </c>
      <c r="AZ3">
        <f t="shared" ref="AZ3:AZ19" si="8">(AD3-D3)^2</f>
        <v>4.0200971291090676E-5</v>
      </c>
      <c r="BA3">
        <f t="shared" ref="BA3:BA19" si="9">(D3-AE3)^2</f>
        <v>1.5566180890153567E-5</v>
      </c>
    </row>
    <row r="4" spans="1:61" ht="34" x14ac:dyDescent="0.2">
      <c r="A4" s="13">
        <v>21</v>
      </c>
      <c r="B4" t="s">
        <v>198</v>
      </c>
      <c r="C4" s="11" t="s">
        <v>167</v>
      </c>
      <c r="D4">
        <v>0.41399999999999998</v>
      </c>
      <c r="E4" t="s">
        <v>155</v>
      </c>
      <c r="F4">
        <v>79.7</v>
      </c>
      <c r="G4">
        <v>58.8</v>
      </c>
      <c r="H4">
        <v>28985</v>
      </c>
      <c r="I4">
        <v>4105</v>
      </c>
      <c r="J4">
        <v>6445</v>
      </c>
      <c r="K4" s="12">
        <v>2.3399999999999899E-9</v>
      </c>
      <c r="L4">
        <v>20</v>
      </c>
      <c r="M4">
        <v>1</v>
      </c>
      <c r="N4" t="s">
        <v>81</v>
      </c>
      <c r="O4">
        <v>7.8</v>
      </c>
      <c r="P4">
        <v>7.8E-2</v>
      </c>
      <c r="Q4">
        <v>80.887966086313497</v>
      </c>
      <c r="R4">
        <v>3630</v>
      </c>
      <c r="S4">
        <v>2290</v>
      </c>
      <c r="T4">
        <v>3515</v>
      </c>
      <c r="U4">
        <v>4.2609022556390901</v>
      </c>
      <c r="V4">
        <v>2294</v>
      </c>
      <c r="W4">
        <v>2547</v>
      </c>
      <c r="X4">
        <v>253</v>
      </c>
      <c r="Y4">
        <f t="shared" si="0"/>
        <v>0.39607499805373969</v>
      </c>
      <c r="Z4">
        <f t="shared" si="1"/>
        <v>0.39968075715240164</v>
      </c>
      <c r="AA4">
        <f t="shared" si="2"/>
        <v>0.67432804286683312</v>
      </c>
      <c r="AB4">
        <f t="shared" si="3"/>
        <v>0.77054839770895289</v>
      </c>
      <c r="AD4">
        <f t="shared" si="4"/>
        <v>0.40812372620598614</v>
      </c>
      <c r="AE4">
        <f t="shared" si="5"/>
        <v>0.41019179944947509</v>
      </c>
      <c r="AI4">
        <f>(AVERAGE(AW2:AW19))^0.5</f>
        <v>0.19661665620383625</v>
      </c>
      <c r="AJ4">
        <f>(AVERAGE(AX2:AX19))^0.5</f>
        <v>0.24391266201465681</v>
      </c>
      <c r="AL4">
        <f>(AVERAGE(AZ2:AZ19))^0.5</f>
        <v>1.0842332724160835E-2</v>
      </c>
      <c r="AW4">
        <f>(AA4-D4)^2</f>
        <v>6.7770689902875714E-2</v>
      </c>
      <c r="AX4">
        <f t="shared" si="7"/>
        <v>0.12712675990882166</v>
      </c>
      <c r="AZ4">
        <f t="shared" si="8"/>
        <v>3.4530593702213832E-5</v>
      </c>
      <c r="BA4">
        <f t="shared" si="9"/>
        <v>1.4502391433018055E-5</v>
      </c>
    </row>
    <row r="5" spans="1:61" ht="34" x14ac:dyDescent="0.2">
      <c r="A5" s="13">
        <v>22</v>
      </c>
      <c r="B5" t="s">
        <v>197</v>
      </c>
      <c r="C5" s="11" t="s">
        <v>165</v>
      </c>
      <c r="D5">
        <v>0.1552</v>
      </c>
      <c r="E5" t="s">
        <v>155</v>
      </c>
      <c r="F5">
        <v>78.599999999999994</v>
      </c>
      <c r="G5">
        <v>57.5</v>
      </c>
      <c r="H5">
        <v>28985</v>
      </c>
      <c r="I5">
        <v>4083</v>
      </c>
      <c r="J5">
        <v>6422</v>
      </c>
      <c r="K5" s="12">
        <v>2.3389999999999999E-9</v>
      </c>
      <c r="L5">
        <v>20</v>
      </c>
      <c r="M5">
        <v>1</v>
      </c>
      <c r="N5" t="s">
        <v>81</v>
      </c>
      <c r="O5">
        <v>7.8</v>
      </c>
      <c r="P5">
        <v>7.8E-2</v>
      </c>
      <c r="Q5">
        <v>80.818845845003395</v>
      </c>
      <c r="R5">
        <v>3214</v>
      </c>
      <c r="S5">
        <v>2082</v>
      </c>
      <c r="T5">
        <v>3119</v>
      </c>
      <c r="U5">
        <v>13.9473684210526</v>
      </c>
      <c r="V5">
        <v>2087</v>
      </c>
      <c r="W5">
        <v>3003</v>
      </c>
      <c r="X5">
        <v>916</v>
      </c>
      <c r="Y5">
        <f t="shared" si="0"/>
        <v>0.189027374366592</v>
      </c>
      <c r="Z5">
        <f t="shared" si="1"/>
        <v>0.19434637135183411</v>
      </c>
      <c r="AA5">
        <f t="shared" si="2"/>
        <v>0.25176152910579624</v>
      </c>
      <c r="AB5">
        <f>((Q5^0.5)/(120*3.14*P5))*LN((V5*($AJ$2*R5-V5))/(R5*X5))</f>
        <v>0.34382574399347904</v>
      </c>
      <c r="AD5">
        <f>$AS$3*AB5^2+$AT$3*AB5+$AU$3</f>
        <v>0.15574245709820395</v>
      </c>
      <c r="AE5">
        <f t="shared" si="5"/>
        <v>0.15880661862846404</v>
      </c>
      <c r="AW5">
        <f t="shared" si="6"/>
        <v>9.3241289032495352E-3</v>
      </c>
      <c r="AX5">
        <f t="shared" si="7"/>
        <v>3.5579671297093489E-2</v>
      </c>
      <c r="AZ5">
        <f>(AD5-D5)^2</f>
        <v>2.9425970339184027E-7</v>
      </c>
      <c r="BA5">
        <f t="shared" si="9"/>
        <v>1.300769793118381E-5</v>
      </c>
    </row>
    <row r="6" spans="1:61" ht="34" x14ac:dyDescent="0.2">
      <c r="A6" s="13">
        <v>23</v>
      </c>
      <c r="B6" t="s">
        <v>195</v>
      </c>
      <c r="C6" s="11" t="s">
        <v>177</v>
      </c>
      <c r="D6">
        <v>5.11E-2</v>
      </c>
      <c r="E6" t="s">
        <v>155</v>
      </c>
      <c r="F6">
        <v>78.400000000000006</v>
      </c>
      <c r="G6">
        <v>57.3</v>
      </c>
      <c r="H6">
        <v>28985</v>
      </c>
      <c r="I6">
        <v>4092</v>
      </c>
      <c r="J6">
        <v>6419</v>
      </c>
      <c r="K6" s="12">
        <v>2.3269999999999999E-9</v>
      </c>
      <c r="L6">
        <v>20</v>
      </c>
      <c r="M6">
        <v>1</v>
      </c>
      <c r="N6" t="s">
        <v>81</v>
      </c>
      <c r="O6">
        <v>7.8</v>
      </c>
      <c r="P6">
        <v>7.8E-2</v>
      </c>
      <c r="Q6">
        <v>79.991707449739906</v>
      </c>
      <c r="R6">
        <v>2574</v>
      </c>
      <c r="S6">
        <v>1558</v>
      </c>
      <c r="T6">
        <v>2482</v>
      </c>
      <c r="U6">
        <v>21.9924812030075</v>
      </c>
      <c r="V6">
        <v>1567</v>
      </c>
      <c r="W6">
        <v>3539</v>
      </c>
      <c r="X6">
        <v>1972</v>
      </c>
      <c r="Y6">
        <f t="shared" si="0"/>
        <v>3.140948778932863E-2</v>
      </c>
      <c r="Z6">
        <f t="shared" si="1"/>
        <v>4.3587489710242233E-2</v>
      </c>
      <c r="AA6">
        <f t="shared" si="2"/>
        <v>-6.9923113544227603E-2</v>
      </c>
      <c r="AB6">
        <f t="shared" si="3"/>
        <v>3.0521034728854209E-2</v>
      </c>
      <c r="AD6">
        <f t="shared" si="4"/>
        <v>4.0461134887782753E-2</v>
      </c>
      <c r="AE6">
        <f t="shared" si="5"/>
        <v>4.6766308939569512E-2</v>
      </c>
      <c r="AW6">
        <f t="shared" si="6"/>
        <v>1.4646594011939004E-2</v>
      </c>
      <c r="AX6">
        <f t="shared" si="7"/>
        <v>4.2349381163102453E-4</v>
      </c>
      <c r="AZ6">
        <f t="shared" si="8"/>
        <v>1.1318545087595329E-4</v>
      </c>
      <c r="BA6">
        <f t="shared" si="9"/>
        <v>1.8780878207255123E-5</v>
      </c>
    </row>
    <row r="7" spans="1:61" ht="34" x14ac:dyDescent="0.2">
      <c r="A7" s="13">
        <v>24</v>
      </c>
      <c r="B7" t="s">
        <v>196</v>
      </c>
      <c r="C7" s="11" t="s">
        <v>163</v>
      </c>
      <c r="D7">
        <v>7.9600000000000004E-2</v>
      </c>
      <c r="E7" t="s">
        <v>155</v>
      </c>
      <c r="F7">
        <v>79.400000000000006</v>
      </c>
      <c r="G7">
        <v>58.5</v>
      </c>
      <c r="H7">
        <v>28985</v>
      </c>
      <c r="I7">
        <v>4090</v>
      </c>
      <c r="J7">
        <v>6420</v>
      </c>
      <c r="K7" s="12">
        <v>2.33E-9</v>
      </c>
      <c r="L7">
        <v>20</v>
      </c>
      <c r="M7">
        <v>1</v>
      </c>
      <c r="N7" t="s">
        <v>81</v>
      </c>
      <c r="O7">
        <v>7.8</v>
      </c>
      <c r="P7">
        <v>7.8E-2</v>
      </c>
      <c r="Q7">
        <v>80.198093192707205</v>
      </c>
      <c r="R7">
        <v>2822</v>
      </c>
      <c r="S7">
        <v>1782</v>
      </c>
      <c r="T7">
        <v>2739</v>
      </c>
      <c r="U7">
        <v>19.369172932330802</v>
      </c>
      <c r="V7">
        <v>1786</v>
      </c>
      <c r="W7">
        <v>3354</v>
      </c>
      <c r="X7">
        <v>1568</v>
      </c>
      <c r="Y7">
        <f t="shared" si="0"/>
        <v>8.5096030907549275E-2</v>
      </c>
      <c r="Z7">
        <f t="shared" si="1"/>
        <v>9.3836144720692682E-2</v>
      </c>
      <c r="AA7">
        <f t="shared" si="2"/>
        <v>3.964653500980362E-2</v>
      </c>
      <c r="AB7">
        <f t="shared" si="3"/>
        <v>0.13494699011909597</v>
      </c>
      <c r="AD7">
        <f t="shared" si="4"/>
        <v>7.2297616204302986E-2</v>
      </c>
      <c r="AE7">
        <f t="shared" si="5"/>
        <v>7.6344749406500073E-2</v>
      </c>
      <c r="AW7">
        <f t="shared" si="6"/>
        <v>1.5962793647228482E-3</v>
      </c>
      <c r="AX7">
        <f t="shared" si="7"/>
        <v>3.0632893152433066E-3</v>
      </c>
      <c r="AZ7">
        <f t="shared" si="8"/>
        <v>5.3324809099658386E-5</v>
      </c>
      <c r="BA7">
        <f t="shared" si="9"/>
        <v>1.0596656426481652E-5</v>
      </c>
    </row>
    <row r="8" spans="1:61" ht="34" x14ac:dyDescent="0.2">
      <c r="A8" s="13">
        <v>25</v>
      </c>
      <c r="B8" t="s">
        <v>193</v>
      </c>
      <c r="C8" s="11" t="s">
        <v>157</v>
      </c>
      <c r="D8">
        <v>7.3499999999999998E-3</v>
      </c>
      <c r="E8" t="s">
        <v>155</v>
      </c>
      <c r="F8">
        <v>93.2</v>
      </c>
      <c r="G8">
        <v>74.5</v>
      </c>
      <c r="H8">
        <v>28985</v>
      </c>
      <c r="I8">
        <v>4120</v>
      </c>
      <c r="J8">
        <v>6422</v>
      </c>
      <c r="K8" s="12">
        <v>2.3020000000000001E-9</v>
      </c>
      <c r="L8">
        <v>20</v>
      </c>
      <c r="M8">
        <v>1</v>
      </c>
      <c r="N8" t="s">
        <v>81</v>
      </c>
      <c r="O8">
        <v>7.8</v>
      </c>
      <c r="P8">
        <v>7.8E-2</v>
      </c>
      <c r="Q8">
        <v>78.282166965530195</v>
      </c>
      <c r="R8">
        <v>1898</v>
      </c>
      <c r="S8">
        <v>935</v>
      </c>
      <c r="T8">
        <v>1770</v>
      </c>
      <c r="U8">
        <v>25.890977443609</v>
      </c>
      <c r="V8">
        <v>959</v>
      </c>
      <c r="W8">
        <v>3895</v>
      </c>
      <c r="X8">
        <v>2936</v>
      </c>
      <c r="Y8">
        <f t="shared" si="0"/>
        <v>-9.9294046346342701E-2</v>
      </c>
      <c r="Z8">
        <f t="shared" si="1"/>
        <v>-7.495700867227402E-2</v>
      </c>
      <c r="AA8">
        <f t="shared" si="2"/>
        <v>-0.33667786190788018</v>
      </c>
      <c r="AB8">
        <f t="shared" si="3"/>
        <v>-0.21583625577527343</v>
      </c>
      <c r="AD8">
        <f t="shared" si="4"/>
        <v>-8.5479042263762531E-3</v>
      </c>
      <c r="AE8">
        <f t="shared" si="5"/>
        <v>9.2866918120590725E-3</v>
      </c>
      <c r="AW8">
        <f t="shared" si="6"/>
        <v>0.11835516976890749</v>
      </c>
      <c r="AX8">
        <f t="shared" si="7"/>
        <v>4.9812104766985769E-2</v>
      </c>
      <c r="AZ8">
        <f t="shared" si="8"/>
        <v>2.5274335879103192E-4</v>
      </c>
      <c r="BA8">
        <f t="shared" si="9"/>
        <v>3.7507751748966544E-6</v>
      </c>
    </row>
    <row r="9" spans="1:61" ht="34" x14ac:dyDescent="0.2">
      <c r="A9" s="13">
        <v>26</v>
      </c>
      <c r="B9" t="s">
        <v>194</v>
      </c>
      <c r="C9" s="11" t="s">
        <v>159</v>
      </c>
      <c r="D9">
        <v>7.0000000000000001E-3</v>
      </c>
      <c r="E9" t="s">
        <v>155</v>
      </c>
      <c r="F9">
        <v>39</v>
      </c>
      <c r="G9">
        <v>25.2</v>
      </c>
      <c r="H9">
        <v>28985</v>
      </c>
      <c r="I9">
        <v>4100</v>
      </c>
      <c r="J9">
        <v>5438</v>
      </c>
      <c r="K9" s="12">
        <v>1.33799999999999E-9</v>
      </c>
      <c r="L9">
        <v>20</v>
      </c>
      <c r="M9">
        <v>1</v>
      </c>
      <c r="N9" t="s">
        <v>81</v>
      </c>
      <c r="O9">
        <v>7.8</v>
      </c>
      <c r="P9">
        <v>7.8E-2</v>
      </c>
      <c r="Q9">
        <v>26.446269990179299</v>
      </c>
      <c r="R9">
        <v>1838</v>
      </c>
      <c r="S9">
        <v>1403</v>
      </c>
      <c r="T9">
        <v>1730</v>
      </c>
      <c r="U9">
        <v>30.582706766917301</v>
      </c>
      <c r="V9">
        <v>1403</v>
      </c>
      <c r="W9">
        <v>3999</v>
      </c>
      <c r="X9">
        <v>2596</v>
      </c>
      <c r="Y9">
        <f t="shared" si="0"/>
        <v>1.2938311558725192E-2</v>
      </c>
      <c r="Z9">
        <f t="shared" si="1"/>
        <v>-5.0246429961967667E-3</v>
      </c>
      <c r="AA9">
        <f t="shared" si="2"/>
        <v>-0.10762120640727713</v>
      </c>
      <c r="AB9">
        <f t="shared" si="3"/>
        <v>-7.0503926046142779E-2</v>
      </c>
      <c r="AD9">
        <f t="shared" si="4"/>
        <v>1.5929731934390033E-2</v>
      </c>
      <c r="AE9">
        <f t="shared" si="5"/>
        <v>1.2432288842159939E-2</v>
      </c>
      <c r="AW9">
        <f t="shared" si="6"/>
        <v>1.3138020958259628E-2</v>
      </c>
      <c r="AX9">
        <f t="shared" si="7"/>
        <v>6.0068585525659699E-3</v>
      </c>
      <c r="AZ9">
        <f t="shared" si="8"/>
        <v>7.9740112420065179E-5</v>
      </c>
      <c r="BA9">
        <f t="shared" si="9"/>
        <v>2.9509762064655366E-5</v>
      </c>
    </row>
    <row r="10" spans="1:61" ht="34" x14ac:dyDescent="0.2">
      <c r="A10" s="13">
        <v>27</v>
      </c>
      <c r="B10" t="s">
        <v>191</v>
      </c>
      <c r="C10" s="11" t="s">
        <v>192</v>
      </c>
      <c r="D10">
        <v>0</v>
      </c>
      <c r="E10" t="s">
        <v>155</v>
      </c>
      <c r="F10">
        <v>0.2</v>
      </c>
      <c r="G10">
        <v>1.1000000000000001</v>
      </c>
      <c r="H10">
        <v>28985</v>
      </c>
      <c r="I10">
        <v>4080</v>
      </c>
      <c r="J10">
        <v>4360</v>
      </c>
      <c r="K10" s="12">
        <v>2.7999999999999898E-10</v>
      </c>
      <c r="L10">
        <v>20</v>
      </c>
      <c r="M10">
        <v>1</v>
      </c>
      <c r="N10" t="s">
        <v>81</v>
      </c>
      <c r="O10">
        <v>7.8</v>
      </c>
      <c r="P10">
        <v>7.8E-2</v>
      </c>
      <c r="Q10">
        <v>1.15815920468386</v>
      </c>
      <c r="R10">
        <v>1722</v>
      </c>
      <c r="S10">
        <v>1610</v>
      </c>
      <c r="T10">
        <v>1618</v>
      </c>
      <c r="U10">
        <v>39.7097744360902</v>
      </c>
      <c r="V10">
        <v>1831</v>
      </c>
      <c r="W10">
        <v>4051</v>
      </c>
      <c r="X10">
        <v>2220</v>
      </c>
      <c r="Y10">
        <f t="shared" si="0"/>
        <v>6.2215514619087933E-2</v>
      </c>
      <c r="Z10">
        <f t="shared" si="1"/>
        <v>2.4354625580777261E-2</v>
      </c>
      <c r="AA10">
        <f t="shared" si="2"/>
        <v>-7.0506442617491302E-3</v>
      </c>
      <c r="AB10">
        <f t="shared" si="3"/>
        <v>-9.4483975115190362E-3</v>
      </c>
      <c r="AD10">
        <f t="shared" si="4"/>
        <v>3.001856368340557E-2</v>
      </c>
      <c r="AE10">
        <f t="shared" si="5"/>
        <v>-2.3062903842393234E-3</v>
      </c>
      <c r="AW10">
        <f t="shared" si="6"/>
        <v>4.9711584505735939E-5</v>
      </c>
      <c r="AX10">
        <f t="shared" si="7"/>
        <v>8.9272215535679116E-5</v>
      </c>
      <c r="AZ10">
        <f t="shared" si="8"/>
        <v>9.0111416561467579E-4</v>
      </c>
      <c r="BA10">
        <f t="shared" si="9"/>
        <v>5.3189753364347665E-6</v>
      </c>
    </row>
    <row r="11" spans="1:61" ht="34" x14ac:dyDescent="0.2">
      <c r="A11" s="13">
        <v>61</v>
      </c>
      <c r="B11" t="s">
        <v>291</v>
      </c>
      <c r="C11" s="11" t="s">
        <v>284</v>
      </c>
      <c r="D11">
        <v>0.59199999999999997</v>
      </c>
      <c r="E11" t="s">
        <v>282</v>
      </c>
      <c r="F11">
        <v>-1</v>
      </c>
      <c r="G11">
        <v>58.3</v>
      </c>
      <c r="H11">
        <v>29045</v>
      </c>
      <c r="I11">
        <v>4052</v>
      </c>
      <c r="J11">
        <v>6499</v>
      </c>
      <c r="K11" s="12">
        <v>2.4469999999999999E-9</v>
      </c>
      <c r="L11">
        <v>20</v>
      </c>
      <c r="M11">
        <v>1</v>
      </c>
      <c r="N11" t="s">
        <v>81</v>
      </c>
      <c r="O11">
        <v>7.8</v>
      </c>
      <c r="P11">
        <v>7.8E-2</v>
      </c>
      <c r="Q11">
        <v>88.4545422096799</v>
      </c>
      <c r="R11">
        <v>3726</v>
      </c>
      <c r="S11">
        <v>2266</v>
      </c>
      <c r="T11">
        <v>3659</v>
      </c>
      <c r="U11">
        <v>1.7097744360902201</v>
      </c>
      <c r="V11">
        <v>2303</v>
      </c>
      <c r="W11">
        <v>2435</v>
      </c>
      <c r="X11">
        <v>132</v>
      </c>
      <c r="Y11">
        <f t="shared" si="0"/>
        <v>0.51375649519321631</v>
      </c>
      <c r="Z11">
        <f t="shared" si="1"/>
        <v>0.5189700011264653</v>
      </c>
      <c r="AA11">
        <f t="shared" si="2"/>
        <v>0.9145059260747479</v>
      </c>
      <c r="AB11">
        <f t="shared" si="3"/>
        <v>1.0184534066525857</v>
      </c>
      <c r="AD11">
        <f t="shared" si="4"/>
        <v>0.6052524704954656</v>
      </c>
      <c r="AE11">
        <f t="shared" si="5"/>
        <v>0.59806130253513201</v>
      </c>
      <c r="AW11">
        <f t="shared" si="6"/>
        <v>0.10401007235333078</v>
      </c>
      <c r="AX11">
        <f t="shared" si="7"/>
        <v>0.18186250804559562</v>
      </c>
      <c r="AZ11">
        <f t="shared" si="8"/>
        <v>1.7562797423318702E-4</v>
      </c>
      <c r="BA11">
        <f t="shared" si="9"/>
        <v>3.6739388422398102E-5</v>
      </c>
    </row>
    <row r="12" spans="1:61" ht="34" x14ac:dyDescent="0.2">
      <c r="A12" s="13">
        <v>62</v>
      </c>
      <c r="B12" t="s">
        <v>292</v>
      </c>
      <c r="C12" s="11" t="s">
        <v>286</v>
      </c>
      <c r="D12">
        <v>0.316</v>
      </c>
      <c r="E12" t="s">
        <v>282</v>
      </c>
      <c r="F12">
        <v>79.2</v>
      </c>
      <c r="G12">
        <v>58.3</v>
      </c>
      <c r="H12">
        <v>29045</v>
      </c>
      <c r="I12">
        <v>4120</v>
      </c>
      <c r="J12">
        <v>6416</v>
      </c>
      <c r="K12" s="12">
        <v>2.2959999999999999E-9</v>
      </c>
      <c r="L12">
        <v>20</v>
      </c>
      <c r="M12">
        <v>1</v>
      </c>
      <c r="N12" t="s">
        <v>81</v>
      </c>
      <c r="O12">
        <v>7.8</v>
      </c>
      <c r="P12">
        <v>7.8E-2</v>
      </c>
      <c r="Q12">
        <v>77.874624922943298</v>
      </c>
      <c r="R12">
        <v>3527</v>
      </c>
      <c r="S12">
        <v>2271</v>
      </c>
      <c r="T12">
        <v>3406</v>
      </c>
      <c r="U12">
        <v>6.8090225563909703</v>
      </c>
      <c r="V12">
        <v>2271</v>
      </c>
      <c r="W12">
        <v>2663</v>
      </c>
      <c r="X12">
        <v>392</v>
      </c>
      <c r="Y12">
        <f t="shared" si="0"/>
        <v>0.32399206731364533</v>
      </c>
      <c r="Z12">
        <f t="shared" si="1"/>
        <v>0.32672313863899122</v>
      </c>
      <c r="AA12">
        <f t="shared" si="2"/>
        <v>0.52721293861166296</v>
      </c>
      <c r="AB12">
        <f t="shared" si="3"/>
        <v>0.61892903566483093</v>
      </c>
      <c r="AD12">
        <f t="shared" si="4"/>
        <v>0.30585310285004264</v>
      </c>
      <c r="AE12">
        <f t="shared" si="5"/>
        <v>0.31001023661711147</v>
      </c>
      <c r="AW12">
        <f t="shared" si="6"/>
        <v>4.4610905436974109E-2</v>
      </c>
      <c r="AX12">
        <f t="shared" si="7"/>
        <v>9.1766000648824411E-2</v>
      </c>
      <c r="AZ12">
        <f t="shared" si="8"/>
        <v>1.0295952177181296E-4</v>
      </c>
      <c r="BA12">
        <f t="shared" si="9"/>
        <v>3.587726538299231E-5</v>
      </c>
    </row>
    <row r="13" spans="1:61" ht="34" x14ac:dyDescent="0.2">
      <c r="A13" s="13">
        <v>63</v>
      </c>
      <c r="B13" t="s">
        <v>293</v>
      </c>
      <c r="C13" s="11" t="s">
        <v>288</v>
      </c>
      <c r="D13">
        <v>0.106</v>
      </c>
      <c r="E13" t="s">
        <v>282</v>
      </c>
      <c r="F13">
        <v>37.700000000000003</v>
      </c>
      <c r="G13">
        <v>23.7</v>
      </c>
      <c r="H13">
        <v>29045</v>
      </c>
      <c r="I13">
        <v>4080</v>
      </c>
      <c r="J13">
        <v>5379</v>
      </c>
      <c r="K13" s="12">
        <v>1.29899999999999E-9</v>
      </c>
      <c r="L13">
        <v>20</v>
      </c>
      <c r="M13">
        <v>1</v>
      </c>
      <c r="N13" t="s">
        <v>81</v>
      </c>
      <c r="O13">
        <v>7.8</v>
      </c>
      <c r="P13">
        <v>7.8E-2</v>
      </c>
      <c r="Q13">
        <v>24.927028063045402</v>
      </c>
      <c r="R13">
        <v>2998</v>
      </c>
      <c r="S13">
        <v>2407</v>
      </c>
      <c r="T13">
        <v>2898</v>
      </c>
      <c r="U13">
        <v>12.786466165413501</v>
      </c>
      <c r="V13">
        <v>2414</v>
      </c>
      <c r="W13">
        <v>3143</v>
      </c>
      <c r="X13">
        <v>729</v>
      </c>
      <c r="Y13">
        <f t="shared" si="0"/>
        <v>0.16528514930104199</v>
      </c>
      <c r="Z13">
        <f t="shared" si="1"/>
        <v>0.14132447033860385</v>
      </c>
      <c r="AA13">
        <f t="shared" si="2"/>
        <v>0.20330567582810344</v>
      </c>
      <c r="AB13">
        <f t="shared" si="3"/>
        <v>0.23363647288240408</v>
      </c>
      <c r="AD13">
        <f t="shared" si="4"/>
        <v>0.10843890937892577</v>
      </c>
      <c r="AE13">
        <f t="shared" si="5"/>
        <v>0.10520713163974767</v>
      </c>
      <c r="AW13">
        <f t="shared" si="6"/>
        <v>9.4683945483639547E-3</v>
      </c>
      <c r="AX13">
        <f t="shared" si="7"/>
        <v>1.6291069209860676E-2</v>
      </c>
      <c r="AZ13">
        <f t="shared" si="8"/>
        <v>5.9482789586120791E-6</v>
      </c>
      <c r="BA13">
        <f t="shared" si="9"/>
        <v>6.286402366892187E-7</v>
      </c>
    </row>
    <row r="14" spans="1:61" ht="34" x14ac:dyDescent="0.2">
      <c r="A14" s="13">
        <v>64</v>
      </c>
      <c r="B14" t="s">
        <v>294</v>
      </c>
      <c r="C14" s="11" t="s">
        <v>290</v>
      </c>
      <c r="D14">
        <v>2.8400000000000002E-2</v>
      </c>
      <c r="E14" t="s">
        <v>282</v>
      </c>
      <c r="F14">
        <v>79.3</v>
      </c>
      <c r="G14">
        <v>58.4</v>
      </c>
      <c r="H14">
        <v>29045</v>
      </c>
      <c r="I14">
        <v>4121</v>
      </c>
      <c r="J14">
        <v>6397</v>
      </c>
      <c r="K14" s="12">
        <v>2.276E-9</v>
      </c>
      <c r="L14">
        <v>20</v>
      </c>
      <c r="M14">
        <v>1</v>
      </c>
      <c r="N14" t="s">
        <v>81</v>
      </c>
      <c r="O14">
        <v>7.8</v>
      </c>
      <c r="P14">
        <v>7.8E-2</v>
      </c>
      <c r="Q14">
        <v>76.523833115847694</v>
      </c>
      <c r="R14">
        <v>2287</v>
      </c>
      <c r="S14">
        <v>1315</v>
      </c>
      <c r="T14">
        <v>2159</v>
      </c>
      <c r="U14">
        <v>23.563157894736801</v>
      </c>
      <c r="V14">
        <v>1318</v>
      </c>
      <c r="W14">
        <v>3718</v>
      </c>
      <c r="X14">
        <v>2400</v>
      </c>
      <c r="Y14">
        <f t="shared" si="0"/>
        <v>-2.169605059023548E-2</v>
      </c>
      <c r="Z14">
        <f t="shared" si="1"/>
        <v>-6.3450191677838358E-3</v>
      </c>
      <c r="AA14">
        <f t="shared" si="2"/>
        <v>-0.17830698105658066</v>
      </c>
      <c r="AB14">
        <f t="shared" si="3"/>
        <v>-7.3247910798845378E-2</v>
      </c>
      <c r="AD14">
        <f t="shared" si="4"/>
        <v>1.5349414981165783E-2</v>
      </c>
      <c r="AE14">
        <f t="shared" si="5"/>
        <v>2.6308057290779868E-2</v>
      </c>
      <c r="AW14">
        <f t="shared" si="6"/>
        <v>4.2727776017525601E-2</v>
      </c>
      <c r="AX14">
        <f t="shared" si="7"/>
        <v>1.0332297769770028E-2</v>
      </c>
      <c r="AZ14">
        <f t="shared" si="8"/>
        <v>1.7031776933382014E-4</v>
      </c>
      <c r="BA14">
        <f t="shared" si="9"/>
        <v>4.3762242986592715E-6</v>
      </c>
    </row>
    <row r="15" spans="1:61" ht="34" x14ac:dyDescent="0.2">
      <c r="A15" s="13">
        <v>65</v>
      </c>
      <c r="B15" t="s">
        <v>295</v>
      </c>
      <c r="C15" s="11" t="s">
        <v>281</v>
      </c>
      <c r="D15">
        <v>1.7999999999999999E-2</v>
      </c>
      <c r="E15" t="s">
        <v>282</v>
      </c>
      <c r="F15">
        <v>38.5</v>
      </c>
      <c r="G15">
        <v>24.6</v>
      </c>
      <c r="H15">
        <v>29045</v>
      </c>
      <c r="I15">
        <v>4080</v>
      </c>
      <c r="J15">
        <v>5402</v>
      </c>
      <c r="K15" s="12">
        <v>1.322E-9</v>
      </c>
      <c r="L15">
        <v>20</v>
      </c>
      <c r="M15">
        <v>1</v>
      </c>
      <c r="N15" t="s">
        <v>81</v>
      </c>
      <c r="O15">
        <v>7.8</v>
      </c>
      <c r="P15">
        <v>7.8E-2</v>
      </c>
      <c r="Q15">
        <v>25.817554993350999</v>
      </c>
      <c r="R15">
        <v>2099</v>
      </c>
      <c r="S15">
        <v>1651</v>
      </c>
      <c r="T15">
        <v>1994</v>
      </c>
      <c r="U15">
        <v>27.093984962406001</v>
      </c>
      <c r="V15">
        <v>1654</v>
      </c>
      <c r="W15">
        <v>3846</v>
      </c>
      <c r="X15">
        <v>2192</v>
      </c>
      <c r="Y15">
        <f t="shared" si="0"/>
        <v>4.182612223850346E-2</v>
      </c>
      <c r="Z15">
        <f t="shared" si="1"/>
        <v>2.1468854584075058E-2</v>
      </c>
      <c r="AA15">
        <f t="shared" si="2"/>
        <v>-4.866365243125198E-2</v>
      </c>
      <c r="AB15">
        <f t="shared" si="3"/>
        <v>-1.544556088445717E-2</v>
      </c>
      <c r="AD15">
        <f t="shared" si="4"/>
        <v>2.8534973266564578E-2</v>
      </c>
      <c r="AE15">
        <f t="shared" si="5"/>
        <v>2.3050506424302869E-2</v>
      </c>
      <c r="AW15">
        <f t="shared" si="6"/>
        <v>4.4440425554747682E-3</v>
      </c>
      <c r="AX15">
        <f t="shared" si="7"/>
        <v>1.1186055428759312E-3</v>
      </c>
      <c r="AZ15">
        <f t="shared" si="8"/>
        <v>1.1098566172723035E-4</v>
      </c>
      <c r="BA15">
        <f t="shared" si="9"/>
        <v>2.5507615141924565E-5</v>
      </c>
    </row>
    <row r="16" spans="1:61" ht="34" x14ac:dyDescent="0.2">
      <c r="A16" s="13">
        <v>123</v>
      </c>
      <c r="B16" t="s">
        <v>360</v>
      </c>
      <c r="C16" s="11" t="s">
        <v>344</v>
      </c>
      <c r="D16">
        <v>0.24099999999999999</v>
      </c>
      <c r="E16" t="s">
        <v>345</v>
      </c>
      <c r="F16">
        <v>77.3</v>
      </c>
      <c r="G16">
        <v>56</v>
      </c>
      <c r="H16">
        <v>29045</v>
      </c>
      <c r="I16">
        <v>4067</v>
      </c>
      <c r="J16">
        <v>6416</v>
      </c>
      <c r="K16" s="12">
        <v>2.3490000000000001E-9</v>
      </c>
      <c r="L16">
        <v>20</v>
      </c>
      <c r="M16">
        <v>1</v>
      </c>
      <c r="N16" t="s">
        <v>81</v>
      </c>
      <c r="O16">
        <v>7.8</v>
      </c>
      <c r="P16">
        <v>7.8E-2</v>
      </c>
      <c r="Q16">
        <v>81.511377777600103</v>
      </c>
      <c r="R16">
        <v>3419</v>
      </c>
      <c r="S16">
        <v>2218</v>
      </c>
      <c r="T16">
        <v>3347</v>
      </c>
      <c r="U16">
        <v>9.8157894736842106</v>
      </c>
      <c r="V16">
        <v>2219</v>
      </c>
      <c r="W16">
        <v>2775</v>
      </c>
      <c r="X16">
        <v>556</v>
      </c>
      <c r="Y16">
        <f t="shared" si="0"/>
        <v>0.27388954764986817</v>
      </c>
      <c r="Z16">
        <f t="shared" si="1"/>
        <v>0.2779513358577691</v>
      </c>
      <c r="AA16">
        <f t="shared" si="2"/>
        <v>0.42495797577781375</v>
      </c>
      <c r="AB16">
        <f t="shared" si="3"/>
        <v>0.51757225108075899</v>
      </c>
      <c r="AD16">
        <f t="shared" si="4"/>
        <v>0.24522923939730434</v>
      </c>
      <c r="AE16">
        <f t="shared" si="5"/>
        <v>0.2481662481243545</v>
      </c>
      <c r="AW16">
        <f t="shared" si="6"/>
        <v>3.384053685227071E-2</v>
      </c>
      <c r="AX16">
        <f t="shared" si="7"/>
        <v>7.6492210067878402E-2</v>
      </c>
      <c r="AZ16">
        <f t="shared" si="8"/>
        <v>1.7886465879711278E-5</v>
      </c>
      <c r="BA16">
        <f t="shared" si="9"/>
        <v>5.1355112179814576E-5</v>
      </c>
    </row>
    <row r="17" spans="1:53" ht="34" x14ac:dyDescent="0.2">
      <c r="A17" s="13">
        <v>124</v>
      </c>
      <c r="B17" t="s">
        <v>361</v>
      </c>
      <c r="C17" s="11" t="s">
        <v>347</v>
      </c>
      <c r="D17">
        <v>0.28199999999999997</v>
      </c>
      <c r="E17" t="s">
        <v>345</v>
      </c>
      <c r="F17">
        <v>77.5</v>
      </c>
      <c r="G17">
        <v>56.2</v>
      </c>
      <c r="H17">
        <v>29045</v>
      </c>
      <c r="I17">
        <v>4070</v>
      </c>
      <c r="J17">
        <v>6420</v>
      </c>
      <c r="K17" s="12">
        <v>2.34999999999999E-9</v>
      </c>
      <c r="L17">
        <v>20</v>
      </c>
      <c r="M17">
        <v>1</v>
      </c>
      <c r="N17" t="s">
        <v>81</v>
      </c>
      <c r="O17">
        <v>7.8</v>
      </c>
      <c r="P17">
        <v>7.8E-2</v>
      </c>
      <c r="Q17">
        <v>81.580793467686902</v>
      </c>
      <c r="R17">
        <v>3483</v>
      </c>
      <c r="S17">
        <v>2247</v>
      </c>
      <c r="T17">
        <v>3406</v>
      </c>
      <c r="U17">
        <v>8.0511278195488707</v>
      </c>
      <c r="V17">
        <v>2247</v>
      </c>
      <c r="W17">
        <v>2702</v>
      </c>
      <c r="X17">
        <v>455</v>
      </c>
      <c r="Y17">
        <f t="shared" si="0"/>
        <v>0.30603768397823072</v>
      </c>
      <c r="Z17">
        <f>AB17*$AO$2+$AP$2</f>
        <v>0.30998177460721638</v>
      </c>
      <c r="AA17">
        <f t="shared" si="2"/>
        <v>0.49056957590280442</v>
      </c>
      <c r="AB17">
        <f t="shared" si="3"/>
        <v>0.58413739928789044</v>
      </c>
      <c r="AD17">
        <f t="shared" si="4"/>
        <v>0.284344006455023</v>
      </c>
      <c r="AE17">
        <f t="shared" si="5"/>
        <v>0.28764573013570627</v>
      </c>
      <c r="AW17">
        <f t="shared" si="6"/>
        <v>4.3501267992275709E-2</v>
      </c>
      <c r="AX17">
        <f t="shared" si="7"/>
        <v>9.1287008048450149E-2</v>
      </c>
      <c r="AZ17">
        <f t="shared" si="8"/>
        <v>5.4943662611896267E-6</v>
      </c>
      <c r="BA17">
        <f t="shared" si="9"/>
        <v>3.1874268765222222E-5</v>
      </c>
    </row>
    <row r="18" spans="1:53" ht="34" x14ac:dyDescent="0.2">
      <c r="A18" s="13">
        <v>125</v>
      </c>
      <c r="B18" t="s">
        <v>362</v>
      </c>
      <c r="C18" s="11" t="s">
        <v>349</v>
      </c>
      <c r="D18">
        <v>0.25800000000000001</v>
      </c>
      <c r="E18" t="s">
        <v>345</v>
      </c>
      <c r="F18">
        <v>79.3</v>
      </c>
      <c r="G18">
        <v>58.4</v>
      </c>
      <c r="H18">
        <v>29045</v>
      </c>
      <c r="I18">
        <v>4106</v>
      </c>
      <c r="J18">
        <v>6418</v>
      </c>
      <c r="K18" s="12">
        <v>2.3119999999999999E-9</v>
      </c>
      <c r="L18">
        <v>20</v>
      </c>
      <c r="M18">
        <v>1</v>
      </c>
      <c r="N18" t="s">
        <v>81</v>
      </c>
      <c r="O18">
        <v>7.8</v>
      </c>
      <c r="P18">
        <v>7.8E-2</v>
      </c>
      <c r="Q18">
        <v>78.963767293388798</v>
      </c>
      <c r="R18">
        <v>3450</v>
      </c>
      <c r="S18">
        <v>2234</v>
      </c>
      <c r="T18">
        <v>3347</v>
      </c>
      <c r="U18">
        <v>9.0278195488721806</v>
      </c>
      <c r="V18">
        <v>2235</v>
      </c>
      <c r="W18">
        <v>2742</v>
      </c>
      <c r="X18">
        <v>507</v>
      </c>
      <c r="Y18">
        <f t="shared" si="0"/>
        <v>0.28533447163262504</v>
      </c>
      <c r="Z18">
        <f t="shared" si="1"/>
        <v>0.28862449290456832</v>
      </c>
      <c r="AA18">
        <f t="shared" si="2"/>
        <v>0.44831608799146205</v>
      </c>
      <c r="AB18">
        <f t="shared" si="3"/>
        <v>0.53975303624625848</v>
      </c>
      <c r="AD18">
        <f t="shared" si="4"/>
        <v>0.25796571766056181</v>
      </c>
      <c r="AE18">
        <f t="shared" si="5"/>
        <v>0.26175952216788856</v>
      </c>
      <c r="AW18">
        <f t="shared" si="6"/>
        <v>3.6220213348373921E-2</v>
      </c>
      <c r="AX18">
        <f t="shared" si="7"/>
        <v>7.9384773433985437E-2</v>
      </c>
      <c r="AZ18">
        <f t="shared" si="8"/>
        <v>1.1752787973557138E-9</v>
      </c>
      <c r="BA18">
        <f t="shared" si="9"/>
        <v>1.4134006930845435E-5</v>
      </c>
    </row>
    <row r="19" spans="1:53" ht="34" x14ac:dyDescent="0.2">
      <c r="A19" s="13">
        <v>126</v>
      </c>
      <c r="B19" t="s">
        <v>363</v>
      </c>
      <c r="C19" s="11" t="s">
        <v>351</v>
      </c>
      <c r="D19">
        <v>0.15670000000000001</v>
      </c>
      <c r="E19" t="s">
        <v>345</v>
      </c>
      <c r="F19">
        <v>93.9</v>
      </c>
      <c r="G19">
        <v>75.099999999999994</v>
      </c>
      <c r="H19">
        <v>29045</v>
      </c>
      <c r="I19">
        <v>4100</v>
      </c>
      <c r="J19">
        <v>6411</v>
      </c>
      <c r="K19" s="12">
        <v>2.311E-9</v>
      </c>
      <c r="L19">
        <v>20</v>
      </c>
      <c r="M19">
        <v>1</v>
      </c>
      <c r="N19" t="s">
        <v>81</v>
      </c>
      <c r="O19">
        <v>7.8</v>
      </c>
      <c r="P19">
        <v>7.8E-2</v>
      </c>
      <c r="Q19">
        <v>78.895474308653405</v>
      </c>
      <c r="R19">
        <v>3230</v>
      </c>
      <c r="S19">
        <v>2103</v>
      </c>
      <c r="T19">
        <v>3119</v>
      </c>
      <c r="U19">
        <v>13.6526315789473</v>
      </c>
      <c r="V19">
        <v>2106</v>
      </c>
      <c r="W19">
        <v>2991</v>
      </c>
      <c r="X19">
        <v>885</v>
      </c>
      <c r="Y19">
        <f t="shared" si="0"/>
        <v>0.19398781099470155</v>
      </c>
      <c r="Z19">
        <f t="shared" si="1"/>
        <v>0.19840324679688934</v>
      </c>
      <c r="AA19">
        <f t="shared" si="2"/>
        <v>0.26188535653904449</v>
      </c>
      <c r="AB19">
        <f t="shared" si="3"/>
        <v>0.35225667799879717</v>
      </c>
      <c r="AD19">
        <f t="shared" si="4"/>
        <v>0.15966382691470737</v>
      </c>
      <c r="AE19">
        <f t="shared" si="5"/>
        <v>0.16271814210908811</v>
      </c>
      <c r="AW19">
        <f t="shared" si="6"/>
        <v>1.1063959230245907E-2</v>
      </c>
      <c r="AX19">
        <f t="shared" si="7"/>
        <v>3.8242414309925241E-2</v>
      </c>
      <c r="AZ19">
        <f t="shared" si="8"/>
        <v>8.784269980343797E-6</v>
      </c>
      <c r="BA19">
        <f t="shared" si="9"/>
        <v>3.6218034445179406E-5</v>
      </c>
    </row>
    <row r="22" spans="1:53" x14ac:dyDescent="0.2">
      <c r="AD22" t="s">
        <v>37</v>
      </c>
      <c r="AE22" s="14" t="s">
        <v>37</v>
      </c>
    </row>
    <row r="23" spans="1:53" x14ac:dyDescent="0.2">
      <c r="AD23">
        <f>RSQ(D2:D18,AD2:AD18)</f>
        <v>0.99620770843627859</v>
      </c>
      <c r="AE23" s="14">
        <f>RSQ(D2:D19,AE2:AE19)</f>
        <v>0.99935165020064887</v>
      </c>
    </row>
    <row r="24" spans="1:53" x14ac:dyDescent="0.2">
      <c r="AE24" s="14"/>
    </row>
    <row r="25" spans="1:53" x14ac:dyDescent="0.2">
      <c r="AD25" t="s">
        <v>403</v>
      </c>
      <c r="AE25" s="14" t="s">
        <v>403</v>
      </c>
    </row>
    <row r="26" spans="1:53" x14ac:dyDescent="0.2">
      <c r="AD26">
        <f>AVERAGE(AZ2:AZ19)^0.5</f>
        <v>1.0842332724160835E-2</v>
      </c>
      <c r="AE26" s="14">
        <f>AVERAGE(BA2:BA19)^0.5</f>
        <v>4.545139378866643E-3</v>
      </c>
    </row>
    <row r="27" spans="1:53" x14ac:dyDescent="0.2">
      <c r="AE27" s="14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8DD7-CFAE-2B43-869B-18245FA3D687}">
  <dimension ref="C4:G18"/>
  <sheetViews>
    <sheetView workbookViewId="0">
      <selection activeCell="E15" sqref="E15"/>
    </sheetView>
  </sheetViews>
  <sheetFormatPr baseColWidth="10" defaultRowHeight="16" x14ac:dyDescent="0.2"/>
  <cols>
    <col min="4" max="4" width="16.5" customWidth="1"/>
    <col min="5" max="5" width="16" customWidth="1"/>
  </cols>
  <sheetData>
    <row r="4" spans="3:7" x14ac:dyDescent="0.2">
      <c r="C4" s="4" t="s">
        <v>94</v>
      </c>
      <c r="D4" s="4" t="s">
        <v>97</v>
      </c>
      <c r="E4" s="4" t="s">
        <v>110</v>
      </c>
      <c r="F4" s="5" t="s">
        <v>108</v>
      </c>
      <c r="G4" s="5" t="s">
        <v>109</v>
      </c>
    </row>
    <row r="5" spans="3:7" ht="29" customHeight="1" x14ac:dyDescent="0.2">
      <c r="C5" s="4">
        <v>1</v>
      </c>
      <c r="D5" s="3" t="s">
        <v>98</v>
      </c>
      <c r="E5" s="4">
        <v>7.9600000000000004E-2</v>
      </c>
    </row>
    <row r="6" spans="3:7" ht="34" customHeight="1" x14ac:dyDescent="0.2">
      <c r="C6" s="3" t="s">
        <v>67</v>
      </c>
      <c r="D6" s="3"/>
      <c r="E6" s="3">
        <v>5.11E-2</v>
      </c>
    </row>
    <row r="7" spans="3:7" ht="33" customHeight="1" x14ac:dyDescent="0.2">
      <c r="C7" s="3" t="s">
        <v>85</v>
      </c>
      <c r="D7" s="3"/>
      <c r="E7" s="3">
        <v>0.42399999999999999</v>
      </c>
    </row>
    <row r="8" spans="3:7" ht="38" customHeight="1" x14ac:dyDescent="0.2">
      <c r="C8" s="4">
        <v>2</v>
      </c>
      <c r="D8" s="3" t="s">
        <v>99</v>
      </c>
      <c r="E8" s="4">
        <v>0.1552</v>
      </c>
      <c r="G8" s="5"/>
    </row>
    <row r="9" spans="3:7" ht="38" customHeight="1" x14ac:dyDescent="0.2">
      <c r="C9" s="4">
        <v>3</v>
      </c>
      <c r="D9" s="3" t="s">
        <v>95</v>
      </c>
      <c r="E9" s="4"/>
    </row>
    <row r="10" spans="3:7" ht="50" customHeight="1" x14ac:dyDescent="0.2">
      <c r="C10" s="3">
        <v>4</v>
      </c>
      <c r="D10" s="3" t="s">
        <v>100</v>
      </c>
      <c r="E10" s="3"/>
    </row>
    <row r="11" spans="3:7" ht="40" customHeight="1" x14ac:dyDescent="0.2">
      <c r="C11" s="4">
        <v>5</v>
      </c>
      <c r="D11" s="3" t="s">
        <v>90</v>
      </c>
      <c r="E11" s="4">
        <v>7.3499999999999998E-3</v>
      </c>
      <c r="G11" s="5"/>
    </row>
    <row r="12" spans="3:7" ht="41" customHeight="1" x14ac:dyDescent="0.2">
      <c r="C12" s="4">
        <v>6</v>
      </c>
      <c r="D12" s="3" t="s">
        <v>101</v>
      </c>
      <c r="E12" s="4">
        <v>0.41399999999999998</v>
      </c>
      <c r="G12" s="5"/>
    </row>
    <row r="13" spans="3:7" ht="46" customHeight="1" x14ac:dyDescent="0.2">
      <c r="C13" s="4">
        <v>7</v>
      </c>
      <c r="D13" s="3" t="s">
        <v>102</v>
      </c>
      <c r="E13" s="4">
        <v>0.437</v>
      </c>
      <c r="G13" s="5"/>
    </row>
    <row r="14" spans="3:7" ht="33" customHeight="1" x14ac:dyDescent="0.2">
      <c r="C14" s="3">
        <v>8</v>
      </c>
      <c r="D14" s="3" t="s">
        <v>103</v>
      </c>
      <c r="E14" s="3"/>
    </row>
    <row r="15" spans="3:7" ht="32" customHeight="1" x14ac:dyDescent="0.2">
      <c r="C15" s="4">
        <v>9</v>
      </c>
      <c r="D15" s="3" t="s">
        <v>104</v>
      </c>
      <c r="E15" s="4"/>
    </row>
    <row r="16" spans="3:7" ht="43" customHeight="1" x14ac:dyDescent="0.2">
      <c r="C16" s="4">
        <v>10</v>
      </c>
      <c r="D16" s="3" t="s">
        <v>105</v>
      </c>
      <c r="E16" s="4">
        <v>2.0500000000000001E-2</v>
      </c>
      <c r="G16" s="5"/>
    </row>
    <row r="17" spans="3:5" ht="34" customHeight="1" x14ac:dyDescent="0.2">
      <c r="C17" s="4">
        <v>11</v>
      </c>
      <c r="D17" s="3" t="s">
        <v>80</v>
      </c>
      <c r="E17" s="4"/>
    </row>
    <row r="18" spans="3:5" x14ac:dyDescent="0.2">
      <c r="C18" s="3">
        <v>12</v>
      </c>
      <c r="D18" s="3" t="s">
        <v>106</v>
      </c>
      <c r="E18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805D-B911-1B45-82BF-E8E1AFF82DEE}">
  <dimension ref="B1:AG41"/>
  <sheetViews>
    <sheetView zoomScale="178" zoomScaleNormal="178" workbookViewId="0">
      <selection activeCell="G23" sqref="G23"/>
    </sheetView>
  </sheetViews>
  <sheetFormatPr baseColWidth="10" defaultRowHeight="16" x14ac:dyDescent="0.2"/>
  <cols>
    <col min="7" max="7" width="8.1640625" customWidth="1"/>
    <col min="12" max="12" width="34.1640625" customWidth="1"/>
    <col min="21" max="25" width="20.83203125" customWidth="1"/>
    <col min="26" max="26" width="20" customWidth="1"/>
    <col min="31" max="31" width="16.5" customWidth="1"/>
    <col min="32" max="32" width="18.33203125" customWidth="1"/>
  </cols>
  <sheetData>
    <row r="1" spans="2:33" x14ac:dyDescent="0.2">
      <c r="AD1" t="s">
        <v>35</v>
      </c>
    </row>
    <row r="2" spans="2:3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20</v>
      </c>
      <c r="N2" t="s">
        <v>26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27</v>
      </c>
      <c r="U2" t="s">
        <v>28</v>
      </c>
      <c r="V2" t="s">
        <v>36</v>
      </c>
      <c r="W2" t="s">
        <v>41</v>
      </c>
      <c r="X2" t="s">
        <v>42</v>
      </c>
      <c r="Y2" t="s">
        <v>43</v>
      </c>
      <c r="Z2" t="s">
        <v>29</v>
      </c>
      <c r="AD2" t="s">
        <v>30</v>
      </c>
      <c r="AE2" t="s">
        <v>31</v>
      </c>
      <c r="AF2" t="s">
        <v>34</v>
      </c>
      <c r="AG2" t="s">
        <v>45</v>
      </c>
    </row>
    <row r="3" spans="2:33" x14ac:dyDescent="0.2">
      <c r="B3">
        <v>2336</v>
      </c>
      <c r="C3" s="1">
        <v>44960</v>
      </c>
      <c r="D3" s="2">
        <v>0.6058796296296296</v>
      </c>
      <c r="E3">
        <v>1.8</v>
      </c>
      <c r="F3">
        <v>2</v>
      </c>
      <c r="G3">
        <v>28925</v>
      </c>
      <c r="H3">
        <v>1100</v>
      </c>
      <c r="I3">
        <v>1479</v>
      </c>
      <c r="J3">
        <v>379</v>
      </c>
      <c r="K3">
        <v>8</v>
      </c>
      <c r="L3" t="s">
        <v>11</v>
      </c>
      <c r="M3">
        <v>7.8E-2</v>
      </c>
      <c r="N3">
        <v>2.1779999999999999</v>
      </c>
      <c r="O3">
        <v>1707</v>
      </c>
      <c r="P3">
        <v>1594</v>
      </c>
      <c r="Q3">
        <v>1822</v>
      </c>
      <c r="R3">
        <v>1915</v>
      </c>
      <c r="S3">
        <v>3898</v>
      </c>
      <c r="T3">
        <f t="shared" ref="T3:T5" si="0">S3-R3</f>
        <v>1983</v>
      </c>
      <c r="U3">
        <f>((N3^0.5)/(120*3.1415*M3))*LN(R3/T3)</f>
        <v>-1.7512863372759441E-3</v>
      </c>
      <c r="V3">
        <f>((N3^0.5)/(120*3.14*M3))*LN((R3*(2*O3-R3))/(O3*T3))</f>
        <v>-8.2768704747561428E-3</v>
      </c>
      <c r="W3">
        <f>((N3^0.5)/(120*3.14*M3))*LN(10*O3/S3-1)</f>
        <v>6.1141867032072451E-2</v>
      </c>
      <c r="X3">
        <f>(R3*S3-O3*(R3+S3)/(O3*(R3-S3)))</f>
        <v>7464672.9314170452</v>
      </c>
      <c r="Y3">
        <f>((N3^0.5)/(120*3.14*M3))*LN(X3)</f>
        <v>0.79466878658764206</v>
      </c>
      <c r="Z3">
        <v>1E-3</v>
      </c>
      <c r="AD3">
        <v>0</v>
      </c>
      <c r="AE3">
        <v>1E-3</v>
      </c>
      <c r="AF3">
        <f>(AD3*0.34211155)+0.01856</f>
        <v>1.856E-2</v>
      </c>
      <c r="AG3">
        <f>V3*0.26541758+0.03376113</f>
        <v>3.1564303068616774E-2</v>
      </c>
    </row>
    <row r="4" spans="2:33" x14ac:dyDescent="0.2">
      <c r="B4">
        <v>2337</v>
      </c>
      <c r="C4" s="1">
        <v>44960</v>
      </c>
      <c r="D4" s="2">
        <v>0.60663194444444446</v>
      </c>
      <c r="E4">
        <v>94.1</v>
      </c>
      <c r="F4">
        <v>75.2</v>
      </c>
      <c r="G4">
        <v>28925</v>
      </c>
      <c r="H4">
        <v>1130</v>
      </c>
      <c r="I4">
        <v>3443</v>
      </c>
      <c r="J4">
        <v>2313</v>
      </c>
      <c r="K4">
        <v>8</v>
      </c>
      <c r="L4" t="s">
        <v>12</v>
      </c>
      <c r="M4">
        <v>7.8E-2</v>
      </c>
      <c r="N4">
        <v>81.099999999999994</v>
      </c>
      <c r="O4">
        <v>1723</v>
      </c>
      <c r="P4">
        <v>1551</v>
      </c>
      <c r="Q4">
        <v>1790</v>
      </c>
      <c r="R4">
        <v>819</v>
      </c>
      <c r="S4">
        <v>2346</v>
      </c>
      <c r="T4">
        <f t="shared" si="0"/>
        <v>1527</v>
      </c>
      <c r="U4">
        <f t="shared" ref="U4:U5" si="1">((N4^0.5)/(120*3.1415*M4))*LN(R4/T4)</f>
        <v>-0.19079587653269817</v>
      </c>
      <c r="V4">
        <f t="shared" ref="V4:V10" si="2">((N4^0.5)/(120*3.14*M4))*LN((R4*(2*O4-R4))/(O4*T4))</f>
        <v>-6.1650180010483911E-2</v>
      </c>
      <c r="W4">
        <f t="shared" ref="W4:W11" si="3">((N4^0.5)/(120*3.14*M4))*LN(10*O4/S4-1)</f>
        <v>0.5661180753622449</v>
      </c>
      <c r="X4">
        <f t="shared" ref="X4:X11" si="4">(R4*S4-O4*(R4+S4)/(O4*(R4-S4)))</f>
        <v>1921376.0726915521</v>
      </c>
      <c r="Y4">
        <f t="shared" ref="Y4:Y11" si="5">((N4^0.5)/(120*3.14*M4))*LN(X4)</f>
        <v>4.4333294469723601</v>
      </c>
      <c r="Z4">
        <v>8.9999999999999993E-3</v>
      </c>
      <c r="AD4">
        <v>0</v>
      </c>
      <c r="AE4">
        <v>8.9999999999999993E-3</v>
      </c>
      <c r="AF4">
        <f t="shared" ref="AF4:AF11" si="6">(AD4*0.34211155)+0.01856</f>
        <v>1.856E-2</v>
      </c>
      <c r="AG4">
        <f t="shared" ref="AG4:AG11" si="7">V4*0.26541758+0.03376113</f>
        <v>1.7398088415052988E-2</v>
      </c>
    </row>
    <row r="5" spans="2:33" x14ac:dyDescent="0.2">
      <c r="B5">
        <v>2338</v>
      </c>
      <c r="C5" s="1">
        <v>44960</v>
      </c>
      <c r="D5" s="2">
        <v>0.60723379629629626</v>
      </c>
      <c r="E5">
        <v>94.6</v>
      </c>
      <c r="F5">
        <v>75.599999999999994</v>
      </c>
      <c r="G5">
        <v>28925</v>
      </c>
      <c r="H5">
        <v>1115</v>
      </c>
      <c r="I5">
        <v>3434</v>
      </c>
      <c r="J5">
        <v>2319</v>
      </c>
      <c r="K5">
        <v>8</v>
      </c>
      <c r="L5" t="s">
        <v>13</v>
      </c>
      <c r="M5">
        <v>7.8E-2</v>
      </c>
      <c r="N5">
        <v>81.5</v>
      </c>
      <c r="O5">
        <v>3027</v>
      </c>
      <c r="P5">
        <v>2866</v>
      </c>
      <c r="Q5">
        <v>2847</v>
      </c>
      <c r="R5">
        <v>1962</v>
      </c>
      <c r="S5">
        <v>2778</v>
      </c>
      <c r="T5">
        <f t="shared" si="0"/>
        <v>816</v>
      </c>
      <c r="U5">
        <f t="shared" si="1"/>
        <v>0.26934978751296396</v>
      </c>
      <c r="V5">
        <f t="shared" si="2"/>
        <v>0.36207731384268294</v>
      </c>
      <c r="W5">
        <f t="shared" si="3"/>
        <v>0.70407505652557723</v>
      </c>
      <c r="X5">
        <f t="shared" si="4"/>
        <v>5450441.8088235296</v>
      </c>
      <c r="Y5">
        <f t="shared" si="5"/>
        <v>4.764517293284249</v>
      </c>
      <c r="Z5">
        <v>0.113</v>
      </c>
      <c r="AD5">
        <v>0.26934978751296396</v>
      </c>
      <c r="AE5">
        <v>0.113</v>
      </c>
      <c r="AF5">
        <f t="shared" si="6"/>
        <v>0.11070767329823075</v>
      </c>
      <c r="AG5">
        <f t="shared" si="7"/>
        <v>0.12986281441302538</v>
      </c>
    </row>
    <row r="6" spans="2:33" x14ac:dyDescent="0.2">
      <c r="B6">
        <v>2339</v>
      </c>
      <c r="C6" s="1">
        <v>44960</v>
      </c>
      <c r="D6" s="2">
        <v>0.60810185185185184</v>
      </c>
      <c r="E6">
        <v>93.8</v>
      </c>
      <c r="F6">
        <v>75</v>
      </c>
      <c r="G6">
        <v>28925</v>
      </c>
      <c r="H6">
        <v>1125</v>
      </c>
      <c r="I6">
        <v>3435</v>
      </c>
      <c r="J6">
        <v>2310</v>
      </c>
      <c r="K6">
        <v>8</v>
      </c>
      <c r="L6" t="s">
        <v>14</v>
      </c>
      <c r="M6">
        <v>7.8E-2</v>
      </c>
      <c r="N6">
        <v>80.89</v>
      </c>
      <c r="O6">
        <v>3410</v>
      </c>
      <c r="P6">
        <v>3247</v>
      </c>
      <c r="Q6">
        <v>3247</v>
      </c>
      <c r="R6">
        <v>2215</v>
      </c>
      <c r="S6">
        <v>2631</v>
      </c>
      <c r="T6">
        <f t="shared" ref="T6:T11" si="8">S6-R6</f>
        <v>416</v>
      </c>
      <c r="U6">
        <f t="shared" ref="U6:U11" si="9">((N6^0.5)/(120*3.1415*M6))*LN(R6/T6)</f>
        <v>0.51151045827774477</v>
      </c>
      <c r="V6">
        <f t="shared" si="2"/>
        <v>0.60369084457302069</v>
      </c>
      <c r="W6">
        <f t="shared" si="3"/>
        <v>0.75941734942052552</v>
      </c>
      <c r="X6">
        <f t="shared" si="4"/>
        <v>5827676.649038462</v>
      </c>
      <c r="Y6">
        <f t="shared" si="5"/>
        <v>4.7671324188206281</v>
      </c>
      <c r="Z6">
        <v>0.23499999999999999</v>
      </c>
      <c r="AD6">
        <v>0.51151045827774477</v>
      </c>
      <c r="AE6">
        <v>0.23499999999999999</v>
      </c>
      <c r="AF6">
        <f t="shared" si="6"/>
        <v>0.19355363572260958</v>
      </c>
      <c r="AG6">
        <f t="shared" si="7"/>
        <v>0.19399129303472729</v>
      </c>
    </row>
    <row r="7" spans="2:33" x14ac:dyDescent="0.2">
      <c r="B7">
        <v>2340</v>
      </c>
      <c r="C7" s="1">
        <v>44960</v>
      </c>
      <c r="D7" s="2">
        <v>0.60888888888888892</v>
      </c>
      <c r="E7">
        <v>-1</v>
      </c>
      <c r="F7">
        <v>75</v>
      </c>
      <c r="G7">
        <v>28925</v>
      </c>
      <c r="H7">
        <v>1130</v>
      </c>
      <c r="I7">
        <v>-1</v>
      </c>
      <c r="J7">
        <v>-1131</v>
      </c>
      <c r="K7">
        <v>8</v>
      </c>
      <c r="L7" t="s">
        <v>15</v>
      </c>
      <c r="M7">
        <v>7.8E-2</v>
      </c>
      <c r="N7">
        <v>87.6</v>
      </c>
      <c r="O7">
        <v>3706</v>
      </c>
      <c r="P7">
        <v>3543</v>
      </c>
      <c r="Q7">
        <v>3538</v>
      </c>
      <c r="R7">
        <v>2310</v>
      </c>
      <c r="S7">
        <v>2355</v>
      </c>
      <c r="T7">
        <f t="shared" si="8"/>
        <v>45</v>
      </c>
      <c r="U7">
        <f t="shared" si="9"/>
        <v>1.2535809428653815</v>
      </c>
      <c r="V7">
        <f t="shared" si="2"/>
        <v>1.3559829645296682</v>
      </c>
      <c r="W7">
        <f t="shared" si="3"/>
        <v>0.85675020298770332</v>
      </c>
      <c r="X7">
        <f t="shared" si="4"/>
        <v>5440153.666666667</v>
      </c>
      <c r="Y7">
        <f t="shared" si="5"/>
        <v>4.9390025828624209</v>
      </c>
      <c r="Z7">
        <v>0.42699999999999999</v>
      </c>
      <c r="AD7">
        <v>1.2535809428653815</v>
      </c>
      <c r="AE7">
        <v>0.42699999999999999</v>
      </c>
      <c r="AF7">
        <f t="shared" si="6"/>
        <v>0.44742451941413708</v>
      </c>
      <c r="AG7">
        <f t="shared" si="7"/>
        <v>0.39366284696669029</v>
      </c>
    </row>
    <row r="8" spans="2:33" x14ac:dyDescent="0.2">
      <c r="B8">
        <v>2341</v>
      </c>
      <c r="C8" s="1">
        <v>44960</v>
      </c>
      <c r="D8" s="2">
        <v>0.61001157407407403</v>
      </c>
      <c r="E8">
        <v>38.5</v>
      </c>
      <c r="F8">
        <v>24.6</v>
      </c>
      <c r="G8">
        <v>28925</v>
      </c>
      <c r="H8">
        <v>1110</v>
      </c>
      <c r="I8">
        <v>2432</v>
      </c>
      <c r="J8">
        <v>1322</v>
      </c>
      <c r="K8">
        <v>8</v>
      </c>
      <c r="L8" t="s">
        <v>16</v>
      </c>
      <c r="M8">
        <v>7.8E-2</v>
      </c>
      <c r="N8">
        <v>26.49</v>
      </c>
      <c r="O8">
        <v>1895</v>
      </c>
      <c r="P8">
        <v>1743</v>
      </c>
      <c r="Q8">
        <v>1775</v>
      </c>
      <c r="R8">
        <v>1511</v>
      </c>
      <c r="S8">
        <v>3638</v>
      </c>
      <c r="T8">
        <f t="shared" si="8"/>
        <v>2127</v>
      </c>
      <c r="U8">
        <f t="shared" si="9"/>
        <v>-5.9852053712403826E-2</v>
      </c>
      <c r="V8">
        <f t="shared" si="2"/>
        <v>-2.7567888563528469E-2</v>
      </c>
      <c r="W8">
        <f t="shared" si="3"/>
        <v>0.25168279210648553</v>
      </c>
      <c r="X8">
        <f t="shared" si="4"/>
        <v>5497020.4207804417</v>
      </c>
      <c r="Y8">
        <f t="shared" si="5"/>
        <v>2.7178111332952715</v>
      </c>
      <c r="Z8">
        <v>7.0000000000000001E-3</v>
      </c>
      <c r="AD8">
        <v>0</v>
      </c>
      <c r="AE8">
        <v>7.0000000000000001E-3</v>
      </c>
      <c r="AF8">
        <f t="shared" si="6"/>
        <v>1.856E-2</v>
      </c>
      <c r="AG8">
        <f t="shared" si="7"/>
        <v>2.6444127731758596E-2</v>
      </c>
    </row>
    <row r="9" spans="2:33" x14ac:dyDescent="0.2">
      <c r="B9">
        <v>2342</v>
      </c>
      <c r="C9" s="1">
        <v>44960</v>
      </c>
      <c r="D9" s="2">
        <v>0.6109606481481481</v>
      </c>
      <c r="E9">
        <v>36.5</v>
      </c>
      <c r="F9">
        <v>22.5</v>
      </c>
      <c r="G9">
        <v>28925</v>
      </c>
      <c r="H9">
        <v>1145</v>
      </c>
      <c r="I9">
        <v>2411</v>
      </c>
      <c r="J9">
        <v>1266</v>
      </c>
      <c r="K9">
        <v>8</v>
      </c>
      <c r="L9" t="s">
        <v>17</v>
      </c>
      <c r="M9">
        <v>7.8E-2</v>
      </c>
      <c r="N9">
        <v>24.29</v>
      </c>
      <c r="O9">
        <v>2335</v>
      </c>
      <c r="P9">
        <v>2186</v>
      </c>
      <c r="Q9">
        <v>2199</v>
      </c>
      <c r="R9">
        <v>1910</v>
      </c>
      <c r="S9">
        <v>3514</v>
      </c>
      <c r="T9">
        <f t="shared" si="8"/>
        <v>1604</v>
      </c>
      <c r="U9">
        <f t="shared" si="9"/>
        <v>2.9265225909345657E-2</v>
      </c>
      <c r="V9">
        <f t="shared" si="2"/>
        <v>5.7320195530828351E-2</v>
      </c>
      <c r="W9">
        <f t="shared" si="3"/>
        <v>0.29022910631049453</v>
      </c>
      <c r="X9">
        <f t="shared" si="4"/>
        <v>6711743.3815461351</v>
      </c>
      <c r="Y9">
        <f t="shared" si="5"/>
        <v>2.6359876882793598</v>
      </c>
      <c r="Z9">
        <v>0.03</v>
      </c>
      <c r="AD9">
        <v>2.9265225909345657E-2</v>
      </c>
      <c r="AE9">
        <v>0.03</v>
      </c>
      <c r="AF9">
        <f t="shared" si="6"/>
        <v>2.8571971796946399E-2</v>
      </c>
      <c r="AG9">
        <f t="shared" si="7"/>
        <v>4.8974917582919275E-2</v>
      </c>
    </row>
    <row r="10" spans="2:33" x14ac:dyDescent="0.2">
      <c r="B10">
        <v>2343</v>
      </c>
      <c r="C10" s="1">
        <v>44960</v>
      </c>
      <c r="D10" s="2">
        <v>0.61195601851851855</v>
      </c>
      <c r="E10">
        <v>37.200000000000003</v>
      </c>
      <c r="F10">
        <v>23.2</v>
      </c>
      <c r="G10">
        <v>28925</v>
      </c>
      <c r="H10">
        <v>1145</v>
      </c>
      <c r="I10">
        <v>2429</v>
      </c>
      <c r="J10">
        <v>1284</v>
      </c>
      <c r="K10">
        <v>8</v>
      </c>
      <c r="L10" t="s">
        <v>18</v>
      </c>
      <c r="M10">
        <v>7.8E-2</v>
      </c>
      <c r="N10">
        <v>24.99</v>
      </c>
      <c r="O10">
        <v>2670</v>
      </c>
      <c r="P10">
        <v>2526</v>
      </c>
      <c r="R10">
        <v>2158</v>
      </c>
      <c r="S10">
        <v>3347</v>
      </c>
      <c r="T10">
        <f t="shared" si="8"/>
        <v>1189</v>
      </c>
      <c r="U10">
        <f t="shared" si="9"/>
        <v>0.10133674087207627</v>
      </c>
      <c r="V10">
        <f t="shared" si="2"/>
        <v>0.13122420774407767</v>
      </c>
      <c r="W10">
        <f t="shared" si="3"/>
        <v>0.33042634027142342</v>
      </c>
      <c r="X10">
        <f t="shared" si="4"/>
        <v>7222830.6299411273</v>
      </c>
      <c r="Y10">
        <f t="shared" si="5"/>
        <v>2.6861830088444592</v>
      </c>
      <c r="Z10">
        <v>5.3999999999999999E-2</v>
      </c>
      <c r="AD10">
        <v>0.10133674087207627</v>
      </c>
      <c r="AE10">
        <v>5.3999999999999999E-2</v>
      </c>
      <c r="AF10">
        <f t="shared" si="6"/>
        <v>5.3228469491694359E-2</v>
      </c>
      <c r="AG10">
        <f t="shared" si="7"/>
        <v>6.8590341656850351E-2</v>
      </c>
    </row>
    <row r="11" spans="2:33" x14ac:dyDescent="0.2">
      <c r="B11">
        <v>2344</v>
      </c>
      <c r="C11" s="1">
        <v>44960</v>
      </c>
      <c r="D11" s="2">
        <v>0.61319444444444449</v>
      </c>
      <c r="E11">
        <v>37.5</v>
      </c>
      <c r="F11">
        <v>23.5</v>
      </c>
      <c r="G11">
        <v>28925</v>
      </c>
      <c r="H11">
        <v>1140</v>
      </c>
      <c r="I11">
        <v>2434</v>
      </c>
      <c r="J11">
        <v>1294</v>
      </c>
      <c r="K11">
        <v>8</v>
      </c>
      <c r="L11" t="s">
        <v>19</v>
      </c>
      <c r="M11">
        <v>7.8E-2</v>
      </c>
      <c r="N11">
        <v>25.38</v>
      </c>
      <c r="O11">
        <v>3146</v>
      </c>
      <c r="P11">
        <v>3006</v>
      </c>
      <c r="R11">
        <v>2499</v>
      </c>
      <c r="S11">
        <v>2991</v>
      </c>
      <c r="T11">
        <f t="shared" si="8"/>
        <v>492</v>
      </c>
      <c r="U11">
        <f t="shared" si="9"/>
        <v>0.27843956621757709</v>
      </c>
      <c r="V11">
        <f>((N11^0.5)/(120*3.14*M11))*LN((R11*(2*O11-R11))/(O11*T11))</f>
        <v>0.3106309193843757</v>
      </c>
      <c r="W11">
        <f t="shared" si="3"/>
        <v>0.38622607966565292</v>
      </c>
      <c r="X11">
        <f t="shared" si="4"/>
        <v>7474520.158536585</v>
      </c>
      <c r="Y11">
        <f t="shared" si="5"/>
        <v>2.712933835390182</v>
      </c>
      <c r="Z11">
        <v>0.127</v>
      </c>
      <c r="AD11">
        <v>0.27843956621757709</v>
      </c>
      <c r="AE11">
        <v>0.127</v>
      </c>
      <c r="AF11">
        <f t="shared" si="6"/>
        <v>0.11381739158002294</v>
      </c>
      <c r="AG11">
        <f t="shared" si="7"/>
        <v>0.11620803689617608</v>
      </c>
    </row>
    <row r="12" spans="2:33" x14ac:dyDescent="0.2">
      <c r="M12">
        <v>0.4</v>
      </c>
      <c r="N12">
        <v>2.42</v>
      </c>
      <c r="O12">
        <v>1698</v>
      </c>
      <c r="P12">
        <v>1462</v>
      </c>
      <c r="Q12">
        <v>1682</v>
      </c>
      <c r="S12">
        <v>2802</v>
      </c>
      <c r="T12">
        <v>4012</v>
      </c>
      <c r="U12">
        <f t="shared" ref="U12" si="10">T12-S12</f>
        <v>1210</v>
      </c>
    </row>
    <row r="15" spans="2:33" x14ac:dyDescent="0.2">
      <c r="AD15" t="s">
        <v>32</v>
      </c>
      <c r="AE15">
        <f>SLOPE(AD3:AD11,AE3:AE11)</f>
        <v>2.8705037174857662</v>
      </c>
      <c r="AF15">
        <f>SLOPE(AE3:AE11,AD3:AD11)</f>
        <v>0.34211154849073477</v>
      </c>
    </row>
    <row r="16" spans="2:33" x14ac:dyDescent="0.2">
      <c r="AD16" t="s">
        <v>33</v>
      </c>
      <c r="AE16">
        <f>INTERCEPT(AD3:AD11,AE3:AE11)</f>
        <v>-4.8403611887014975E-2</v>
      </c>
      <c r="AF16">
        <f>INTERCEPT(AE3:AE11,AD3:AD11)</f>
        <v>1.8561815820469174E-2</v>
      </c>
    </row>
    <row r="17" spans="3:33" x14ac:dyDescent="0.2">
      <c r="C17" s="23"/>
      <c r="D17" s="23" t="s">
        <v>276</v>
      </c>
      <c r="E17" s="23" t="s">
        <v>277</v>
      </c>
      <c r="F17" s="23" t="s">
        <v>277</v>
      </c>
      <c r="G17" s="23" t="s">
        <v>278</v>
      </c>
      <c r="W17" t="s">
        <v>40</v>
      </c>
      <c r="Y17" t="s">
        <v>44</v>
      </c>
      <c r="Z17" t="s">
        <v>39</v>
      </c>
    </row>
    <row r="18" spans="3:33" x14ac:dyDescent="0.2">
      <c r="C18" s="23">
        <v>0</v>
      </c>
      <c r="D18" s="24">
        <v>0.59199999999999997</v>
      </c>
      <c r="E18" s="24">
        <v>0.59199999999999997</v>
      </c>
      <c r="F18" s="24">
        <v>0.34106300000000001</v>
      </c>
      <c r="G18">
        <f>(E18-F18)^2</f>
        <v>6.2969377968999984E-2</v>
      </c>
      <c r="W18">
        <f>RSQ(Z3:Z11,W3:W11)</f>
        <v>0.62352454327589502</v>
      </c>
      <c r="Y18">
        <f>RSQ(Z3:Z11,Y3:Y11)</f>
        <v>0.39629832898924033</v>
      </c>
      <c r="Z18">
        <f>RSQ(U3:U11,Z3:Z11)</f>
        <v>0.97307963407267895</v>
      </c>
      <c r="AE18">
        <f>RSQ(AD3:AD11,AE3:AE11)</f>
        <v>0.98203247173746644</v>
      </c>
    </row>
    <row r="19" spans="3:33" x14ac:dyDescent="0.2">
      <c r="C19" s="23">
        <v>1</v>
      </c>
      <c r="D19" s="24">
        <v>5.11E-2</v>
      </c>
      <c r="E19" s="24">
        <v>5.11E-2</v>
      </c>
      <c r="F19" s="24">
        <v>7.1707000000000007E-2</v>
      </c>
      <c r="G19">
        <f>(E19-F19)^2</f>
        <v>4.2464844900000028E-4</v>
      </c>
      <c r="AE19">
        <f>RSQ(AE3:AE11,AF3:AF11)</f>
        <v>0.982032471737466</v>
      </c>
    </row>
    <row r="20" spans="3:33" x14ac:dyDescent="0.2">
      <c r="C20" s="23">
        <v>2</v>
      </c>
      <c r="D20" s="24">
        <v>0.25800000000000001</v>
      </c>
      <c r="E20" s="24">
        <v>0.25800000000000001</v>
      </c>
      <c r="F20" s="24">
        <v>0.29325600000000002</v>
      </c>
      <c r="G20">
        <f t="shared" ref="G20:G21" si="11">(E20-F20)^2</f>
        <v>1.2429855360000007E-3</v>
      </c>
      <c r="AG20">
        <f>RSQ(AE3:AE11,AG3:AG11)</f>
        <v>0.98833903998005801</v>
      </c>
    </row>
    <row r="21" spans="3:33" x14ac:dyDescent="0.2">
      <c r="C21" s="23">
        <v>3</v>
      </c>
      <c r="D21" s="24">
        <v>0.437</v>
      </c>
      <c r="E21" s="24">
        <v>0.437</v>
      </c>
      <c r="F21" s="24">
        <v>0.35902299999999998</v>
      </c>
      <c r="G21">
        <f t="shared" si="11"/>
        <v>6.080412529000003E-3</v>
      </c>
    </row>
    <row r="23" spans="3:33" x14ac:dyDescent="0.2">
      <c r="G23">
        <f>((SUM(G18:G21))/4)^0.5</f>
        <v>0.13296373987200419</v>
      </c>
      <c r="AD23" t="s">
        <v>36</v>
      </c>
    </row>
    <row r="25" spans="3:33" x14ac:dyDescent="0.2">
      <c r="E25">
        <f>RSQ(E18:E21,F18:F21)</f>
        <v>0.77864141508203721</v>
      </c>
      <c r="AD25" t="s">
        <v>37</v>
      </c>
      <c r="AE25">
        <f>RSQ(Z3:Z11,V3:V11)</f>
        <v>0.98833903998005757</v>
      </c>
    </row>
    <row r="26" spans="3:33" x14ac:dyDescent="0.2">
      <c r="AD26" t="s">
        <v>32</v>
      </c>
      <c r="AE26">
        <f>SLOPE(Z3:Z11,V3:V11)</f>
        <v>0.30996092154696131</v>
      </c>
    </row>
    <row r="27" spans="3:33" x14ac:dyDescent="0.2">
      <c r="AD27" t="s">
        <v>33</v>
      </c>
      <c r="AE27">
        <f>INTERCEPT(Z3:Z11,V3:V11)</f>
        <v>1.7649184495323197E-2</v>
      </c>
    </row>
    <row r="29" spans="3:33" x14ac:dyDescent="0.2">
      <c r="AD29" t="s">
        <v>31</v>
      </c>
      <c r="AE29" t="s">
        <v>38</v>
      </c>
    </row>
    <row r="30" spans="3:33" x14ac:dyDescent="0.2">
      <c r="AD30">
        <v>1E-3</v>
      </c>
      <c r="AE30">
        <f>V3*0.30996092+0.01764918</f>
        <v>1.5083673612923749E-2</v>
      </c>
    </row>
    <row r="31" spans="3:33" x14ac:dyDescent="0.2">
      <c r="AD31">
        <v>8.9999999999999993E-3</v>
      </c>
      <c r="AE31">
        <f t="shared" ref="AE31:AE38" si="12">V4*0.30996092+0.01764918</f>
        <v>-1.4599665142152017E-3</v>
      </c>
    </row>
    <row r="32" spans="3:33" x14ac:dyDescent="0.2">
      <c r="AD32">
        <v>0.113</v>
      </c>
      <c r="AE32">
        <f t="shared" si="12"/>
        <v>0.12987899730980673</v>
      </c>
    </row>
    <row r="33" spans="30:31" x14ac:dyDescent="0.2">
      <c r="AD33">
        <v>0.23499999999999999</v>
      </c>
      <c r="AE33">
        <f t="shared" si="12"/>
        <v>0.2047697495794305</v>
      </c>
    </row>
    <row r="34" spans="30:31" x14ac:dyDescent="0.2">
      <c r="AD34">
        <v>0.42699999999999999</v>
      </c>
      <c r="AE34">
        <f t="shared" si="12"/>
        <v>0.43795090718994328</v>
      </c>
    </row>
    <row r="35" spans="30:31" x14ac:dyDescent="0.2">
      <c r="AD35">
        <v>7.0000000000000001E-3</v>
      </c>
      <c r="AE35">
        <f t="shared" si="12"/>
        <v>9.1042118983912391E-3</v>
      </c>
    </row>
    <row r="36" spans="30:31" x14ac:dyDescent="0.2">
      <c r="AD36">
        <v>0.03</v>
      </c>
      <c r="AE36">
        <f t="shared" si="12"/>
        <v>3.5416200541315446E-2</v>
      </c>
    </row>
    <row r="37" spans="30:31" x14ac:dyDescent="0.2">
      <c r="AD37">
        <v>5.3999999999999999E-2</v>
      </c>
      <c r="AE37">
        <f t="shared" si="12"/>
        <v>5.8323556158625438E-2</v>
      </c>
    </row>
    <row r="38" spans="30:31" x14ac:dyDescent="0.2">
      <c r="AD38">
        <v>0.127</v>
      </c>
      <c r="AE38">
        <f t="shared" si="12"/>
        <v>0.11393262555282692</v>
      </c>
    </row>
    <row r="41" spans="30:31" x14ac:dyDescent="0.2">
      <c r="AD41">
        <f>RSQ(AD30:AD38,AE30:AE38)</f>
        <v>0.98833903998005801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3FDA-60D9-9C40-99D9-B2B7421DE80B}">
  <sheetPr>
    <pageSetUpPr fitToPage="1"/>
  </sheetPr>
  <dimension ref="C4:O30"/>
  <sheetViews>
    <sheetView workbookViewId="0">
      <selection activeCell="F27" sqref="F27"/>
    </sheetView>
  </sheetViews>
  <sheetFormatPr baseColWidth="10" defaultRowHeight="16" x14ac:dyDescent="0.2"/>
  <cols>
    <col min="4" max="4" width="19.1640625" customWidth="1"/>
    <col min="5" max="5" width="14.6640625" customWidth="1"/>
    <col min="6" max="6" width="12" customWidth="1"/>
    <col min="7" max="7" width="5.1640625" customWidth="1"/>
    <col min="8" max="8" width="5.83203125" customWidth="1"/>
    <col min="9" max="9" width="4.83203125" customWidth="1"/>
    <col min="10" max="10" width="3.5" customWidth="1"/>
    <col min="11" max="11" width="15.6640625" customWidth="1"/>
    <col min="12" max="12" width="23.33203125" customWidth="1"/>
    <col min="13" max="13" width="20.1640625" customWidth="1"/>
    <col min="15" max="15" width="15.1640625" customWidth="1"/>
  </cols>
  <sheetData>
    <row r="4" spans="3:15" x14ac:dyDescent="0.2">
      <c r="C4" s="3"/>
      <c r="D4" s="3"/>
      <c r="E4" s="3"/>
      <c r="F4" s="3"/>
      <c r="G4" s="3" t="s">
        <v>61</v>
      </c>
      <c r="H4" s="3"/>
      <c r="I4" s="3"/>
      <c r="J4" s="3"/>
      <c r="K4" s="3"/>
      <c r="L4" s="3"/>
      <c r="M4" s="3"/>
      <c r="N4" s="3"/>
      <c r="O4" s="3"/>
    </row>
    <row r="5" spans="3:15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3:15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3:15" x14ac:dyDescent="0.2">
      <c r="C7" s="4" t="s">
        <v>94</v>
      </c>
      <c r="D7" s="4" t="s">
        <v>97</v>
      </c>
      <c r="E7" s="4" t="s">
        <v>107</v>
      </c>
      <c r="F7" s="3" t="s">
        <v>46</v>
      </c>
      <c r="G7" s="3" t="s">
        <v>47</v>
      </c>
      <c r="H7" s="3" t="s">
        <v>48</v>
      </c>
      <c r="I7" s="3" t="s">
        <v>49</v>
      </c>
      <c r="J7" s="3" t="s">
        <v>50</v>
      </c>
      <c r="K7" s="3" t="s">
        <v>68</v>
      </c>
      <c r="L7" s="3" t="s">
        <v>51</v>
      </c>
      <c r="M7" s="3" t="s">
        <v>82</v>
      </c>
      <c r="N7" s="4" t="s">
        <v>83</v>
      </c>
      <c r="O7" s="3" t="s">
        <v>84</v>
      </c>
    </row>
    <row r="8" spans="3:15" x14ac:dyDescent="0.2">
      <c r="C8" s="4">
        <v>1</v>
      </c>
      <c r="D8" s="3" t="s">
        <v>98</v>
      </c>
      <c r="E8" s="4">
        <v>0.79500000000000004</v>
      </c>
      <c r="F8" s="3">
        <v>500</v>
      </c>
      <c r="G8" s="3">
        <f>F8/10000</f>
        <v>0.05</v>
      </c>
      <c r="H8" s="3">
        <f>G8*10</f>
        <v>0.5</v>
      </c>
      <c r="I8" s="3">
        <f>0.65*F8/1000</f>
        <v>0.32500000000000001</v>
      </c>
      <c r="J8" s="3">
        <f>40*I8</f>
        <v>13</v>
      </c>
      <c r="K8" s="3">
        <f>53*I8</f>
        <v>17.225000000000001</v>
      </c>
      <c r="L8" s="3" t="s">
        <v>53</v>
      </c>
      <c r="M8" s="3">
        <v>17.225000000000001</v>
      </c>
      <c r="N8" s="3"/>
      <c r="O8" s="3"/>
    </row>
    <row r="9" spans="3:15" x14ac:dyDescent="0.2">
      <c r="C9" s="3" t="s">
        <v>67</v>
      </c>
      <c r="D9" s="3"/>
      <c r="E9" s="3">
        <v>0.51100000000000001</v>
      </c>
      <c r="F9" s="3"/>
      <c r="G9" s="3"/>
      <c r="H9" s="3"/>
      <c r="I9" s="3"/>
      <c r="J9" s="3"/>
      <c r="K9" s="3">
        <f>53*I9</f>
        <v>0</v>
      </c>
      <c r="L9" s="3" t="s">
        <v>53</v>
      </c>
      <c r="M9" s="3">
        <v>10</v>
      </c>
      <c r="N9" s="3"/>
      <c r="O9" s="3"/>
    </row>
    <row r="10" spans="3:15" x14ac:dyDescent="0.2">
      <c r="C10" s="3" t="s">
        <v>85</v>
      </c>
      <c r="D10" s="3"/>
      <c r="E10" s="3">
        <v>0.42399999999999999</v>
      </c>
      <c r="F10" s="3"/>
      <c r="G10" s="3"/>
      <c r="H10" s="3"/>
      <c r="I10" s="3"/>
      <c r="J10" s="3"/>
      <c r="K10" s="3"/>
      <c r="L10" s="3" t="s">
        <v>53</v>
      </c>
      <c r="M10" s="3">
        <v>100</v>
      </c>
      <c r="N10" s="3"/>
      <c r="O10" s="3"/>
    </row>
    <row r="11" spans="3:15" x14ac:dyDescent="0.2">
      <c r="C11" s="4">
        <v>2</v>
      </c>
      <c r="D11" s="3" t="s">
        <v>99</v>
      </c>
      <c r="E11" s="4">
        <v>1.5660000000000001</v>
      </c>
      <c r="F11" s="3">
        <v>1000</v>
      </c>
      <c r="G11" s="3">
        <f t="shared" ref="G11" si="0">F11/10000</f>
        <v>0.1</v>
      </c>
      <c r="H11" s="3">
        <f t="shared" ref="H11" si="1">G11*10</f>
        <v>1</v>
      </c>
      <c r="I11" s="3">
        <f t="shared" ref="I11" si="2">0.65*F11/1000</f>
        <v>0.65</v>
      </c>
      <c r="J11" s="3">
        <f t="shared" ref="J11" si="3">40*I11</f>
        <v>26</v>
      </c>
      <c r="K11" s="3">
        <f t="shared" ref="K11" si="4">53*I11</f>
        <v>34.450000000000003</v>
      </c>
      <c r="L11" s="3" t="s">
        <v>88</v>
      </c>
      <c r="M11" s="3" t="s">
        <v>89</v>
      </c>
      <c r="N11" s="3"/>
      <c r="O11" s="3"/>
    </row>
    <row r="12" spans="3:15" x14ac:dyDescent="0.2">
      <c r="C12" s="4">
        <v>3</v>
      </c>
      <c r="D12" s="3" t="s">
        <v>95</v>
      </c>
      <c r="E12" s="4"/>
      <c r="F12" s="3"/>
      <c r="G12" s="3"/>
      <c r="H12" s="3"/>
      <c r="I12" s="3"/>
      <c r="J12" s="3"/>
      <c r="K12" s="3"/>
      <c r="L12" s="3" t="s">
        <v>96</v>
      </c>
      <c r="M12" s="3" t="s">
        <v>247</v>
      </c>
      <c r="N12" s="3"/>
      <c r="O12" s="3"/>
    </row>
    <row r="13" spans="3:15" x14ac:dyDescent="0.2">
      <c r="C13" s="3">
        <v>4</v>
      </c>
      <c r="D13" s="3" t="s">
        <v>100</v>
      </c>
      <c r="E13" s="3"/>
      <c r="F13" s="3" t="s">
        <v>91</v>
      </c>
      <c r="G13" s="3"/>
      <c r="H13" s="3"/>
      <c r="I13" s="3"/>
      <c r="J13" s="3"/>
      <c r="K13" s="3"/>
      <c r="L13" s="3"/>
      <c r="M13" s="3" t="s">
        <v>246</v>
      </c>
      <c r="N13" s="3"/>
      <c r="O13" s="3"/>
    </row>
    <row r="14" spans="3:15" x14ac:dyDescent="0.2">
      <c r="C14" s="4">
        <v>5</v>
      </c>
      <c r="D14" s="3" t="s">
        <v>90</v>
      </c>
      <c r="E14" s="4">
        <v>7.4099999999999999E-2</v>
      </c>
      <c r="F14" s="3" t="s">
        <v>90</v>
      </c>
      <c r="G14" s="3"/>
      <c r="H14" s="3"/>
      <c r="I14" s="3"/>
      <c r="J14" s="3"/>
      <c r="K14" s="3"/>
      <c r="L14" s="3" t="s">
        <v>90</v>
      </c>
      <c r="M14" s="3">
        <v>0</v>
      </c>
      <c r="N14" s="3"/>
      <c r="O14" s="3"/>
    </row>
    <row r="15" spans="3:15" x14ac:dyDescent="0.2">
      <c r="C15" s="4">
        <v>6</v>
      </c>
      <c r="D15" s="3" t="s">
        <v>101</v>
      </c>
      <c r="E15" s="4">
        <v>0.41299999999999998</v>
      </c>
      <c r="F15" s="3"/>
      <c r="G15" s="3"/>
      <c r="H15" s="3"/>
      <c r="I15" s="3"/>
      <c r="J15" s="3"/>
      <c r="K15" s="3"/>
      <c r="L15" s="3" t="s">
        <v>53</v>
      </c>
      <c r="M15" s="3">
        <v>100</v>
      </c>
      <c r="N15" s="3">
        <v>0.41299999999999998</v>
      </c>
      <c r="O15" s="3">
        <v>0.40600000000000003</v>
      </c>
    </row>
    <row r="16" spans="3:15" x14ac:dyDescent="0.2">
      <c r="C16" s="4">
        <v>7</v>
      </c>
      <c r="D16" s="3" t="s">
        <v>102</v>
      </c>
      <c r="E16" s="4">
        <v>0.437</v>
      </c>
      <c r="F16" s="3"/>
      <c r="G16" s="3"/>
      <c r="H16" s="3"/>
      <c r="I16" s="3"/>
      <c r="J16" s="3"/>
      <c r="K16" s="3"/>
      <c r="L16" s="3" t="s">
        <v>87</v>
      </c>
      <c r="M16" s="3">
        <v>100</v>
      </c>
      <c r="N16" s="3"/>
      <c r="O16" s="3"/>
    </row>
    <row r="17" spans="3:15" x14ac:dyDescent="0.2">
      <c r="C17" s="3">
        <v>8</v>
      </c>
      <c r="D17" s="3" t="s">
        <v>103</v>
      </c>
      <c r="E17" s="3"/>
      <c r="F17" s="3" t="s">
        <v>92</v>
      </c>
      <c r="G17" s="3"/>
      <c r="H17" s="3"/>
      <c r="I17" s="3"/>
      <c r="J17" s="3"/>
      <c r="K17" s="3"/>
      <c r="L17" s="3" t="s">
        <v>93</v>
      </c>
      <c r="M17" s="3" t="s">
        <v>245</v>
      </c>
      <c r="N17" s="3"/>
      <c r="O17" s="3"/>
    </row>
    <row r="18" spans="3:15" x14ac:dyDescent="0.2">
      <c r="C18" s="4">
        <v>9</v>
      </c>
      <c r="D18" s="3" t="s">
        <v>104</v>
      </c>
      <c r="E18" s="4"/>
      <c r="F18" s="3" t="s">
        <v>92</v>
      </c>
      <c r="G18" s="3"/>
      <c r="H18" s="3"/>
      <c r="I18" s="3"/>
      <c r="J18" s="3"/>
      <c r="K18" s="3"/>
      <c r="L18" s="3" t="s">
        <v>52</v>
      </c>
      <c r="M18" s="3" t="s">
        <v>92</v>
      </c>
      <c r="N18" s="3"/>
      <c r="O18" s="3"/>
    </row>
    <row r="19" spans="3:15" x14ac:dyDescent="0.2">
      <c r="C19" s="4">
        <v>10</v>
      </c>
      <c r="D19" s="3" t="s">
        <v>105</v>
      </c>
      <c r="E19" s="4">
        <v>0.20699999999999999</v>
      </c>
      <c r="F19" s="3"/>
      <c r="G19" s="3"/>
      <c r="H19" s="3"/>
      <c r="I19" s="3"/>
      <c r="J19" s="3"/>
      <c r="K19" s="3"/>
      <c r="L19" s="3" t="s">
        <v>86</v>
      </c>
      <c r="M19" s="3"/>
      <c r="N19" s="3"/>
      <c r="O19" s="3"/>
    </row>
    <row r="20" spans="3:15" x14ac:dyDescent="0.2">
      <c r="C20" s="4">
        <v>11</v>
      </c>
      <c r="D20" s="3" t="s">
        <v>80</v>
      </c>
      <c r="E20" s="4"/>
      <c r="F20" s="3"/>
      <c r="G20" s="3"/>
      <c r="H20" s="3"/>
      <c r="I20" s="3"/>
      <c r="J20" s="3"/>
      <c r="K20" s="3"/>
      <c r="L20" s="3" t="s">
        <v>80</v>
      </c>
      <c r="M20" s="3"/>
      <c r="N20" s="3"/>
      <c r="O20" s="3"/>
    </row>
    <row r="21" spans="3:15" x14ac:dyDescent="0.2">
      <c r="C21" s="3">
        <v>12</v>
      </c>
      <c r="D21" s="3" t="s">
        <v>106</v>
      </c>
      <c r="E21" s="3"/>
      <c r="F21" s="3" t="s">
        <v>91</v>
      </c>
      <c r="G21" s="3"/>
      <c r="H21" s="3"/>
      <c r="I21" s="3"/>
      <c r="J21" s="3"/>
      <c r="K21" s="3"/>
      <c r="L21" s="3" t="s">
        <v>52</v>
      </c>
      <c r="M21" s="3" t="s">
        <v>91</v>
      </c>
      <c r="N21" s="3"/>
      <c r="O21" s="3"/>
    </row>
    <row r="22" spans="3:15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5" spans="3:15" x14ac:dyDescent="0.2">
      <c r="G25" t="s">
        <v>54</v>
      </c>
    </row>
    <row r="26" spans="3:15" x14ac:dyDescent="0.2">
      <c r="G26" t="s">
        <v>55</v>
      </c>
      <c r="I26" t="s">
        <v>56</v>
      </c>
      <c r="J26" t="s">
        <v>57</v>
      </c>
    </row>
    <row r="27" spans="3:15" x14ac:dyDescent="0.2">
      <c r="G27" t="s">
        <v>58</v>
      </c>
      <c r="I27" t="s">
        <v>59</v>
      </c>
      <c r="J27" t="s">
        <v>60</v>
      </c>
    </row>
    <row r="29" spans="3:15" x14ac:dyDescent="0.2">
      <c r="H29" t="s">
        <v>62</v>
      </c>
      <c r="J29" t="s">
        <v>63</v>
      </c>
    </row>
    <row r="30" spans="3:15" x14ac:dyDescent="0.2">
      <c r="H30" t="s">
        <v>64</v>
      </c>
      <c r="J30">
        <v>20</v>
      </c>
    </row>
  </sheetData>
  <pageMargins left="0.7" right="0.7" top="0.75" bottom="0.75" header="0.3" footer="0.3"/>
  <pageSetup scale="5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09E5-91B6-8242-B9C3-3F872A63F5E8}">
  <dimension ref="C5:G23"/>
  <sheetViews>
    <sheetView workbookViewId="0">
      <selection activeCell="D9" sqref="D9"/>
    </sheetView>
  </sheetViews>
  <sheetFormatPr baseColWidth="10" defaultRowHeight="16" x14ac:dyDescent="0.2"/>
  <cols>
    <col min="4" max="4" width="21.83203125" customWidth="1"/>
    <col min="5" max="5" width="18" customWidth="1"/>
    <col min="6" max="6" width="18.5" customWidth="1"/>
  </cols>
  <sheetData>
    <row r="5" spans="3:7" x14ac:dyDescent="0.2">
      <c r="C5" s="3"/>
      <c r="D5" s="3"/>
      <c r="E5" s="3"/>
    </row>
    <row r="6" spans="3:7" x14ac:dyDescent="0.2">
      <c r="C6" s="3"/>
      <c r="D6" s="3"/>
      <c r="E6" s="3"/>
    </row>
    <row r="7" spans="3:7" x14ac:dyDescent="0.2">
      <c r="C7" s="3"/>
      <c r="D7" s="3"/>
      <c r="E7" s="3"/>
    </row>
    <row r="8" spans="3:7" ht="24" customHeight="1" x14ac:dyDescent="0.2">
      <c r="C8" s="4" t="s">
        <v>94</v>
      </c>
      <c r="D8" s="4" t="s">
        <v>97</v>
      </c>
      <c r="E8" s="4" t="s">
        <v>107</v>
      </c>
      <c r="F8" s="5" t="s">
        <v>108</v>
      </c>
      <c r="G8" s="5" t="s">
        <v>109</v>
      </c>
    </row>
    <row r="9" spans="3:7" ht="36" customHeight="1" x14ac:dyDescent="0.2">
      <c r="C9" s="4">
        <v>1</v>
      </c>
      <c r="D9" s="3" t="s">
        <v>98</v>
      </c>
      <c r="E9" s="4">
        <v>7.9500000000000001E-2</v>
      </c>
      <c r="F9">
        <v>9.5000000000000001E-2</v>
      </c>
      <c r="G9">
        <v>78.242999999999995</v>
      </c>
    </row>
    <row r="10" spans="3:7" ht="32" customHeight="1" x14ac:dyDescent="0.2">
      <c r="C10" s="3" t="s">
        <v>67</v>
      </c>
      <c r="D10" s="3"/>
      <c r="E10" s="3">
        <v>5.11E-2</v>
      </c>
      <c r="F10">
        <v>6.5000000000000002E-2</v>
      </c>
      <c r="G10">
        <v>79.88</v>
      </c>
    </row>
    <row r="11" spans="3:7" ht="27" customHeight="1" x14ac:dyDescent="0.2">
      <c r="C11" s="3" t="s">
        <v>85</v>
      </c>
      <c r="D11" s="3"/>
      <c r="E11" s="3">
        <v>0.42399999999999999</v>
      </c>
      <c r="F11">
        <v>0.41</v>
      </c>
      <c r="G11">
        <v>86.156999999999996</v>
      </c>
    </row>
    <row r="12" spans="3:7" ht="31" customHeight="1" x14ac:dyDescent="0.2">
      <c r="C12" s="4">
        <v>2</v>
      </c>
      <c r="D12" s="3" t="s">
        <v>99</v>
      </c>
      <c r="E12" s="4">
        <v>0.15659999999999999</v>
      </c>
      <c r="F12">
        <v>0.17199999999999999</v>
      </c>
      <c r="G12" s="5">
        <v>75.406000000000006</v>
      </c>
    </row>
    <row r="13" spans="3:7" ht="31" customHeight="1" x14ac:dyDescent="0.2">
      <c r="C13" s="4">
        <v>3</v>
      </c>
      <c r="D13" s="3" t="s">
        <v>95</v>
      </c>
      <c r="E13" s="4"/>
    </row>
    <row r="14" spans="3:7" ht="32" customHeight="1" x14ac:dyDescent="0.2">
      <c r="C14" s="3">
        <v>4</v>
      </c>
      <c r="D14" s="3" t="s">
        <v>100</v>
      </c>
      <c r="E14" s="3"/>
    </row>
    <row r="15" spans="3:7" ht="34" customHeight="1" x14ac:dyDescent="0.2">
      <c r="C15" s="4">
        <v>5</v>
      </c>
      <c r="D15" s="3" t="s">
        <v>90</v>
      </c>
      <c r="E15" s="4">
        <v>7.4099999999999999E-3</v>
      </c>
      <c r="F15">
        <v>1.4999999999999999E-2</v>
      </c>
      <c r="G15" s="5">
        <v>81.099999999999994</v>
      </c>
    </row>
    <row r="16" spans="3:7" ht="31" customHeight="1" x14ac:dyDescent="0.2">
      <c r="C16" s="4">
        <v>6</v>
      </c>
      <c r="D16" s="3" t="s">
        <v>101</v>
      </c>
      <c r="E16" s="4">
        <v>0.41299999999999998</v>
      </c>
      <c r="F16">
        <v>0.41799999999999998</v>
      </c>
      <c r="G16" s="5">
        <v>62.975999999999999</v>
      </c>
    </row>
    <row r="17" spans="3:7" ht="29" customHeight="1" x14ac:dyDescent="0.2">
      <c r="C17" s="4">
        <v>7</v>
      </c>
      <c r="D17" s="3" t="s">
        <v>102</v>
      </c>
      <c r="E17" s="4">
        <v>0.437</v>
      </c>
      <c r="F17">
        <v>0.41299999999999998</v>
      </c>
      <c r="G17" s="5">
        <v>84.391999999999996</v>
      </c>
    </row>
    <row r="18" spans="3:7" ht="29" customHeight="1" x14ac:dyDescent="0.2">
      <c r="C18" s="3">
        <v>8</v>
      </c>
      <c r="D18" s="3" t="s">
        <v>103</v>
      </c>
      <c r="E18" s="3"/>
    </row>
    <row r="19" spans="3:7" ht="32" customHeight="1" x14ac:dyDescent="0.2">
      <c r="C19" s="4">
        <v>9</v>
      </c>
      <c r="D19" s="3" t="s">
        <v>104</v>
      </c>
      <c r="E19" s="4"/>
    </row>
    <row r="20" spans="3:7" ht="31" customHeight="1" x14ac:dyDescent="0.2">
      <c r="C20" s="4">
        <v>10</v>
      </c>
      <c r="D20" s="3" t="s">
        <v>105</v>
      </c>
      <c r="E20" s="4">
        <v>2.07E-2</v>
      </c>
      <c r="F20">
        <v>7.0000000000000001E-3</v>
      </c>
      <c r="G20" s="5">
        <v>27.952000000000002</v>
      </c>
    </row>
    <row r="21" spans="3:7" ht="30" customHeight="1" x14ac:dyDescent="0.2">
      <c r="C21" s="4">
        <v>11</v>
      </c>
      <c r="D21" s="3" t="s">
        <v>80</v>
      </c>
      <c r="E21" s="4"/>
      <c r="F21">
        <v>0</v>
      </c>
      <c r="G21">
        <v>2.63</v>
      </c>
    </row>
    <row r="22" spans="3:7" ht="32" customHeight="1" x14ac:dyDescent="0.2">
      <c r="C22" s="3">
        <v>12</v>
      </c>
      <c r="D22" s="3" t="s">
        <v>106</v>
      </c>
      <c r="E22" s="3"/>
    </row>
    <row r="23" spans="3:7" x14ac:dyDescent="0.2">
      <c r="C23" s="3"/>
      <c r="D23" s="3"/>
      <c r="E23" s="3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9BB4-D513-3748-BF0F-EAB97C1F4DAD}">
  <dimension ref="C4:G18"/>
  <sheetViews>
    <sheetView topLeftCell="A4" workbookViewId="0">
      <selection activeCell="G15" sqref="G15"/>
    </sheetView>
  </sheetViews>
  <sheetFormatPr baseColWidth="10" defaultRowHeight="16" x14ac:dyDescent="0.2"/>
  <cols>
    <col min="4" max="4" width="16.5" customWidth="1"/>
    <col min="5" max="5" width="16" customWidth="1"/>
  </cols>
  <sheetData>
    <row r="4" spans="3:7" x14ac:dyDescent="0.2">
      <c r="C4" s="4" t="s">
        <v>94</v>
      </c>
      <c r="D4" s="4" t="s">
        <v>97</v>
      </c>
      <c r="E4" s="4" t="s">
        <v>107</v>
      </c>
      <c r="F4" s="5" t="s">
        <v>108</v>
      </c>
      <c r="G4" s="5" t="s">
        <v>109</v>
      </c>
    </row>
    <row r="5" spans="3:7" ht="29" customHeight="1" x14ac:dyDescent="0.2">
      <c r="C5" s="4">
        <v>1</v>
      </c>
      <c r="D5" s="3" t="s">
        <v>98</v>
      </c>
      <c r="E5" s="4">
        <v>7.9500000000000001E-2</v>
      </c>
    </row>
    <row r="6" spans="3:7" ht="34" customHeight="1" x14ac:dyDescent="0.2">
      <c r="C6" s="3" t="s">
        <v>67</v>
      </c>
      <c r="D6" s="3"/>
      <c r="E6" s="3">
        <v>5.11E-2</v>
      </c>
    </row>
    <row r="7" spans="3:7" ht="33" customHeight="1" x14ac:dyDescent="0.2">
      <c r="C7" s="3" t="s">
        <v>85</v>
      </c>
      <c r="D7" s="3"/>
      <c r="E7" s="3">
        <v>0.42399999999999999</v>
      </c>
    </row>
    <row r="8" spans="3:7" ht="38" customHeight="1" x14ac:dyDescent="0.2">
      <c r="C8" s="4">
        <v>2</v>
      </c>
      <c r="D8" s="3" t="s">
        <v>99</v>
      </c>
      <c r="E8" s="4">
        <v>0.15659999999999999</v>
      </c>
      <c r="G8" s="5"/>
    </row>
    <row r="9" spans="3:7" ht="38" customHeight="1" x14ac:dyDescent="0.2">
      <c r="C9" s="4">
        <v>3</v>
      </c>
      <c r="D9" s="3" t="s">
        <v>95</v>
      </c>
      <c r="E9" s="4"/>
    </row>
    <row r="10" spans="3:7" ht="50" customHeight="1" x14ac:dyDescent="0.2">
      <c r="C10" s="3">
        <v>4</v>
      </c>
      <c r="D10" s="3" t="s">
        <v>100</v>
      </c>
      <c r="E10" s="3"/>
    </row>
    <row r="11" spans="3:7" ht="40" customHeight="1" x14ac:dyDescent="0.2">
      <c r="C11" s="4">
        <v>5</v>
      </c>
      <c r="D11" s="3" t="s">
        <v>90</v>
      </c>
      <c r="E11" s="4">
        <v>7.4099999999999999E-3</v>
      </c>
      <c r="G11" s="5"/>
    </row>
    <row r="12" spans="3:7" ht="41" customHeight="1" x14ac:dyDescent="0.2">
      <c r="C12" s="4">
        <v>6</v>
      </c>
      <c r="D12" s="3" t="s">
        <v>101</v>
      </c>
      <c r="E12" s="4">
        <v>0.41299999999999998</v>
      </c>
      <c r="G12" s="5"/>
    </row>
    <row r="13" spans="3:7" ht="46" customHeight="1" x14ac:dyDescent="0.2">
      <c r="C13" s="4">
        <v>7</v>
      </c>
      <c r="D13" s="3" t="s">
        <v>102</v>
      </c>
      <c r="E13" s="4">
        <v>0.437</v>
      </c>
      <c r="G13" s="5"/>
    </row>
    <row r="14" spans="3:7" ht="33" customHeight="1" x14ac:dyDescent="0.2">
      <c r="C14" s="3">
        <v>8</v>
      </c>
      <c r="D14" s="3" t="s">
        <v>103</v>
      </c>
      <c r="E14" s="3"/>
    </row>
    <row r="15" spans="3:7" ht="32" customHeight="1" x14ac:dyDescent="0.2">
      <c r="C15" s="4">
        <v>9</v>
      </c>
      <c r="D15" s="3" t="s">
        <v>104</v>
      </c>
      <c r="E15" s="4"/>
    </row>
    <row r="16" spans="3:7" ht="43" customHeight="1" x14ac:dyDescent="0.2">
      <c r="C16" s="4">
        <v>10</v>
      </c>
      <c r="D16" s="3" t="s">
        <v>105</v>
      </c>
      <c r="E16" s="4">
        <v>2.07E-2</v>
      </c>
      <c r="G16" s="5"/>
    </row>
    <row r="17" spans="3:5" ht="34" customHeight="1" x14ac:dyDescent="0.2">
      <c r="C17" s="4">
        <v>11</v>
      </c>
      <c r="D17" s="3" t="s">
        <v>80</v>
      </c>
      <c r="E17" s="4"/>
    </row>
    <row r="18" spans="3:5" x14ac:dyDescent="0.2">
      <c r="C18" s="3">
        <v>12</v>
      </c>
      <c r="D18" s="3" t="s">
        <v>106</v>
      </c>
      <c r="E18" s="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E3FE-9E46-CE40-8241-B37B29441303}">
  <dimension ref="B2:AC54"/>
  <sheetViews>
    <sheetView zoomScale="120" zoomScaleNormal="120" workbookViewId="0">
      <pane ySplit="4" topLeftCell="A9" activePane="bottomLeft" state="frozen"/>
      <selection activeCell="C1" sqref="C1"/>
      <selection pane="bottomLeft" activeCell="U25" sqref="U25"/>
    </sheetView>
  </sheetViews>
  <sheetFormatPr baseColWidth="10" defaultRowHeight="16" x14ac:dyDescent="0.2"/>
  <cols>
    <col min="3" max="3" width="27.33203125" customWidth="1"/>
    <col min="4" max="4" width="7.6640625" customWidth="1"/>
    <col min="5" max="5" width="4.33203125" customWidth="1"/>
    <col min="6" max="6" width="5.5" customWidth="1"/>
    <col min="15" max="16" width="17.5" customWidth="1"/>
    <col min="28" max="28" width="15.5" customWidth="1"/>
    <col min="29" max="29" width="18.33203125" customWidth="1"/>
  </cols>
  <sheetData>
    <row r="2" spans="2:29" x14ac:dyDescent="0.2">
      <c r="D2" t="s">
        <v>75</v>
      </c>
    </row>
    <row r="4" spans="2:29" x14ac:dyDescent="0.2">
      <c r="B4" t="s">
        <v>0</v>
      </c>
      <c r="C4" t="s">
        <v>10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71</v>
      </c>
      <c r="M4" t="s">
        <v>72</v>
      </c>
      <c r="N4" t="s">
        <v>73</v>
      </c>
      <c r="O4" t="s">
        <v>9</v>
      </c>
      <c r="P4" t="s">
        <v>77</v>
      </c>
      <c r="Q4" t="s">
        <v>20</v>
      </c>
      <c r="R4" t="s">
        <v>26</v>
      </c>
      <c r="S4" t="s">
        <v>21</v>
      </c>
      <c r="T4" t="s">
        <v>76</v>
      </c>
      <c r="U4" t="s">
        <v>22</v>
      </c>
      <c r="V4" t="s">
        <v>23</v>
      </c>
      <c r="W4" t="s">
        <v>24</v>
      </c>
      <c r="X4" t="s">
        <v>25</v>
      </c>
      <c r="Y4" t="s">
        <v>27</v>
      </c>
      <c r="Z4" t="s">
        <v>28</v>
      </c>
      <c r="AA4" t="s">
        <v>36</v>
      </c>
      <c r="AB4" t="s">
        <v>29</v>
      </c>
      <c r="AC4" t="s">
        <v>74</v>
      </c>
    </row>
    <row r="5" spans="2:29" x14ac:dyDescent="0.2">
      <c r="B5">
        <v>2398</v>
      </c>
      <c r="C5" t="s">
        <v>70</v>
      </c>
      <c r="D5" s="1">
        <v>44998</v>
      </c>
      <c r="E5" s="2">
        <v>0.70197916666666671</v>
      </c>
      <c r="F5">
        <v>2.5</v>
      </c>
      <c r="G5">
        <v>2.4</v>
      </c>
      <c r="H5">
        <v>22500</v>
      </c>
      <c r="I5">
        <v>6800</v>
      </c>
      <c r="J5">
        <v>8877</v>
      </c>
      <c r="K5">
        <v>2077</v>
      </c>
      <c r="L5">
        <v>20</v>
      </c>
      <c r="M5">
        <v>5</v>
      </c>
      <c r="N5" t="s">
        <v>69</v>
      </c>
      <c r="O5">
        <v>40</v>
      </c>
      <c r="P5">
        <v>0</v>
      </c>
      <c r="Q5">
        <v>0.4</v>
      </c>
      <c r="R5">
        <v>2.42</v>
      </c>
      <c r="S5">
        <v>1698</v>
      </c>
      <c r="T5">
        <v>1462</v>
      </c>
      <c r="U5">
        <v>1682</v>
      </c>
      <c r="W5">
        <v>2802</v>
      </c>
      <c r="X5">
        <v>4012</v>
      </c>
      <c r="Y5">
        <f t="shared" ref="Y5" si="0">X5-W5</f>
        <v>1210</v>
      </c>
      <c r="Z5">
        <f>((R5^0.5)/(120*3.1415*Q5))*LN(W5/Y5)</f>
        <v>8.6628402155502476E-3</v>
      </c>
      <c r="AA5">
        <f>((R5^0.5)/(120*3.14*Q5))*LN((W5*(2*S5-W5))/(S5*Y5))</f>
        <v>-2.1738218503328582E-3</v>
      </c>
    </row>
    <row r="6" spans="2:29" x14ac:dyDescent="0.2">
      <c r="B6">
        <v>2399</v>
      </c>
      <c r="C6" t="s">
        <v>70</v>
      </c>
      <c r="D6" s="1">
        <v>44998</v>
      </c>
      <c r="E6" s="2">
        <v>0.70263888888888892</v>
      </c>
      <c r="F6">
        <v>2.6</v>
      </c>
      <c r="G6">
        <v>2.4</v>
      </c>
      <c r="H6">
        <v>22500</v>
      </c>
      <c r="I6">
        <v>6800</v>
      </c>
      <c r="J6">
        <v>8878</v>
      </c>
      <c r="K6">
        <v>2078</v>
      </c>
      <c r="L6">
        <v>20</v>
      </c>
      <c r="M6">
        <v>5</v>
      </c>
      <c r="N6" t="s">
        <v>69</v>
      </c>
      <c r="O6">
        <v>40</v>
      </c>
      <c r="P6">
        <v>0</v>
      </c>
      <c r="Q6">
        <v>0.4</v>
      </c>
      <c r="R6">
        <v>2.42</v>
      </c>
      <c r="S6">
        <v>1687</v>
      </c>
      <c r="T6">
        <v>1470</v>
      </c>
      <c r="U6">
        <v>1682</v>
      </c>
      <c r="W6">
        <v>2795</v>
      </c>
      <c r="X6">
        <v>4010</v>
      </c>
      <c r="Y6">
        <f t="shared" ref="Y6" si="1">X6-W6</f>
        <v>1215</v>
      </c>
      <c r="Z6">
        <f>((R6^0.5)/(120*3.1415*Q6))*LN(W6/Y6)</f>
        <v>8.5944932718967897E-3</v>
      </c>
      <c r="AA6">
        <f>((R6^0.5)/(120*3.14*Q6))*LN((W6*(2*S6-W6))/(S6*Y6))</f>
        <v>-2.4391077240104968E-3</v>
      </c>
    </row>
    <row r="7" spans="2:29" x14ac:dyDescent="0.2">
      <c r="B7">
        <v>2408</v>
      </c>
      <c r="C7" t="s">
        <v>78</v>
      </c>
      <c r="D7" s="1">
        <v>44999</v>
      </c>
      <c r="E7" s="2">
        <v>0.61343749999999997</v>
      </c>
      <c r="F7">
        <v>0.4</v>
      </c>
      <c r="G7">
        <v>2.9</v>
      </c>
      <c r="H7">
        <v>27780</v>
      </c>
      <c r="I7">
        <v>4000</v>
      </c>
      <c r="J7">
        <v>6275</v>
      </c>
      <c r="K7">
        <v>2275</v>
      </c>
      <c r="L7">
        <v>20</v>
      </c>
      <c r="M7">
        <v>4</v>
      </c>
      <c r="N7" t="s">
        <v>79</v>
      </c>
      <c r="O7">
        <v>40</v>
      </c>
      <c r="P7">
        <v>0</v>
      </c>
      <c r="Q7">
        <v>0.4</v>
      </c>
      <c r="R7">
        <v>2.9</v>
      </c>
      <c r="S7">
        <v>1683</v>
      </c>
      <c r="T7">
        <v>1478</v>
      </c>
      <c r="U7">
        <v>1486</v>
      </c>
      <c r="W7">
        <v>2843</v>
      </c>
      <c r="X7">
        <v>4003</v>
      </c>
      <c r="Y7">
        <f t="shared" ref="Y7:Y31" si="2">X7-W7</f>
        <v>1160</v>
      </c>
      <c r="Z7">
        <f t="shared" ref="Z7:Z31" si="3">((R7^0.5)/(120*3.1415*Q7))*LN(W7/Y7)</f>
        <v>1.0123759998649411E-2</v>
      </c>
      <c r="AA7">
        <f t="shared" ref="AA7:AA31" si="4">((R7^0.5)/(120*3.14*Q7))*LN((W7*(2*S7-W7))/(S7*Y7))</f>
        <v>-3.0767679146730246E-3</v>
      </c>
    </row>
    <row r="8" spans="2:29" x14ac:dyDescent="0.2">
      <c r="B8">
        <v>2421</v>
      </c>
      <c r="C8" t="s">
        <v>80</v>
      </c>
      <c r="D8" s="1">
        <v>44999</v>
      </c>
      <c r="E8" s="2">
        <v>0.62664351851851852</v>
      </c>
      <c r="F8">
        <v>2.2999999999999998</v>
      </c>
      <c r="G8">
        <v>2.2999999999999998</v>
      </c>
      <c r="H8">
        <v>20105</v>
      </c>
      <c r="I8">
        <v>4080</v>
      </c>
      <c r="J8">
        <v>5092</v>
      </c>
      <c r="K8">
        <v>1012</v>
      </c>
      <c r="L8">
        <v>20</v>
      </c>
      <c r="M8">
        <v>1</v>
      </c>
      <c r="N8" t="s">
        <v>81</v>
      </c>
      <c r="O8">
        <v>20</v>
      </c>
      <c r="P8">
        <v>0</v>
      </c>
      <c r="Q8">
        <v>0.2</v>
      </c>
      <c r="R8">
        <v>2.2999999999999998</v>
      </c>
      <c r="S8">
        <v>1734</v>
      </c>
      <c r="T8">
        <v>1538</v>
      </c>
      <c r="U8">
        <v>1538</v>
      </c>
      <c r="W8">
        <v>2454</v>
      </c>
      <c r="X8">
        <v>4054</v>
      </c>
      <c r="Y8">
        <f t="shared" si="2"/>
        <v>1600</v>
      </c>
      <c r="Z8">
        <f t="shared" si="3"/>
        <v>8.6034139949072771E-3</v>
      </c>
      <c r="AA8">
        <f t="shared" si="4"/>
        <v>-2.1897818077075129E-3</v>
      </c>
    </row>
    <row r="9" spans="2:29" x14ac:dyDescent="0.2">
      <c r="B9">
        <v>2420</v>
      </c>
      <c r="C9" t="s">
        <v>80</v>
      </c>
      <c r="D9" s="1">
        <v>44999</v>
      </c>
      <c r="E9" s="2">
        <v>0.62621527777777775</v>
      </c>
      <c r="F9">
        <v>2.4</v>
      </c>
      <c r="G9">
        <v>2.4</v>
      </c>
      <c r="H9">
        <v>20105</v>
      </c>
      <c r="I9">
        <v>4080</v>
      </c>
      <c r="J9">
        <v>5106</v>
      </c>
      <c r="K9">
        <v>1026</v>
      </c>
      <c r="L9">
        <v>20</v>
      </c>
      <c r="M9">
        <v>1</v>
      </c>
      <c r="N9" t="s">
        <v>81</v>
      </c>
      <c r="O9">
        <v>20</v>
      </c>
      <c r="P9">
        <v>0</v>
      </c>
      <c r="Q9">
        <v>0.2</v>
      </c>
      <c r="R9">
        <v>2.36</v>
      </c>
      <c r="S9">
        <v>1738</v>
      </c>
      <c r="T9">
        <v>1546</v>
      </c>
      <c r="U9">
        <v>1551</v>
      </c>
      <c r="W9">
        <v>2450</v>
      </c>
      <c r="X9">
        <v>4055</v>
      </c>
      <c r="Y9">
        <f t="shared" si="2"/>
        <v>1605</v>
      </c>
      <c r="Z9">
        <f t="shared" si="3"/>
        <v>8.6180969506443068E-3</v>
      </c>
      <c r="AA9">
        <f t="shared" si="4"/>
        <v>-2.1221613823927581E-3</v>
      </c>
    </row>
    <row r="10" spans="2:29" x14ac:dyDescent="0.2">
      <c r="B10">
        <v>2416</v>
      </c>
      <c r="C10" t="s">
        <v>11</v>
      </c>
      <c r="D10" s="1">
        <v>44999</v>
      </c>
      <c r="E10" s="2">
        <v>0.62035879629629631</v>
      </c>
      <c r="F10">
        <v>1.8</v>
      </c>
      <c r="G10">
        <v>2</v>
      </c>
      <c r="H10">
        <v>28985</v>
      </c>
      <c r="I10">
        <v>4080</v>
      </c>
      <c r="J10">
        <v>4458</v>
      </c>
      <c r="K10">
        <v>378</v>
      </c>
      <c r="L10">
        <v>20</v>
      </c>
      <c r="M10">
        <v>1</v>
      </c>
      <c r="N10" t="s">
        <v>81</v>
      </c>
      <c r="O10">
        <v>8</v>
      </c>
      <c r="P10">
        <v>0</v>
      </c>
      <c r="Q10">
        <v>7.8E-2</v>
      </c>
      <c r="R10">
        <v>2.11</v>
      </c>
      <c r="S10">
        <v>1718</v>
      </c>
      <c r="T10">
        <v>1598</v>
      </c>
      <c r="U10">
        <v>1598</v>
      </c>
      <c r="W10">
        <v>1882</v>
      </c>
      <c r="X10">
        <v>4007</v>
      </c>
      <c r="Y10">
        <f t="shared" si="2"/>
        <v>2125</v>
      </c>
      <c r="Z10">
        <f t="shared" si="3"/>
        <v>-5.9989948718320082E-3</v>
      </c>
      <c r="AA10">
        <f t="shared" si="4"/>
        <v>-1.0960475293777408E-2</v>
      </c>
    </row>
    <row r="11" spans="2:29" x14ac:dyDescent="0.2">
      <c r="B11">
        <v>2417</v>
      </c>
      <c r="C11" t="s">
        <v>80</v>
      </c>
      <c r="D11" s="1">
        <v>44999</v>
      </c>
      <c r="E11" s="2">
        <v>0.6209027777777778</v>
      </c>
      <c r="F11">
        <v>1.7</v>
      </c>
      <c r="G11">
        <v>2</v>
      </c>
      <c r="H11">
        <v>28985</v>
      </c>
      <c r="I11">
        <v>4080</v>
      </c>
      <c r="J11">
        <v>4453</v>
      </c>
      <c r="K11">
        <v>373</v>
      </c>
      <c r="L11">
        <v>20</v>
      </c>
      <c r="M11">
        <v>1</v>
      </c>
      <c r="N11" t="s">
        <v>81</v>
      </c>
      <c r="O11">
        <v>8</v>
      </c>
      <c r="P11">
        <v>0</v>
      </c>
      <c r="Q11">
        <v>7.8E-2</v>
      </c>
      <c r="R11">
        <v>2.0499999999999998</v>
      </c>
      <c r="S11">
        <v>1719</v>
      </c>
      <c r="T11">
        <v>1599</v>
      </c>
      <c r="U11">
        <v>1599</v>
      </c>
      <c r="W11">
        <v>1886</v>
      </c>
      <c r="X11">
        <v>4006</v>
      </c>
      <c r="Y11">
        <f t="shared" si="2"/>
        <v>2120</v>
      </c>
      <c r="Z11">
        <f t="shared" si="3"/>
        <v>-5.6949982661640506E-3</v>
      </c>
      <c r="AA11">
        <f t="shared" si="4"/>
        <v>-1.0676409259406015E-2</v>
      </c>
    </row>
    <row r="12" spans="2:29" x14ac:dyDescent="0.2">
      <c r="B12">
        <v>2535</v>
      </c>
      <c r="C12" t="s">
        <v>111</v>
      </c>
      <c r="D12" s="1">
        <v>45027</v>
      </c>
      <c r="E12" s="2">
        <v>0.62775462962962958</v>
      </c>
      <c r="F12">
        <v>-1</v>
      </c>
      <c r="G12">
        <v>81.2</v>
      </c>
      <c r="H12">
        <v>20105</v>
      </c>
      <c r="I12">
        <v>4100</v>
      </c>
      <c r="J12">
        <v>10161</v>
      </c>
      <c r="K12">
        <v>-4101</v>
      </c>
      <c r="L12">
        <v>20</v>
      </c>
      <c r="M12">
        <v>1</v>
      </c>
      <c r="N12" t="s">
        <v>81</v>
      </c>
      <c r="O12">
        <v>20</v>
      </c>
      <c r="P12">
        <v>0.437</v>
      </c>
      <c r="Q12">
        <v>0.2</v>
      </c>
      <c r="R12">
        <v>78.66</v>
      </c>
      <c r="S12">
        <v>3787</v>
      </c>
      <c r="T12">
        <v>2131</v>
      </c>
      <c r="U12">
        <v>3590</v>
      </c>
      <c r="W12">
        <v>2146</v>
      </c>
      <c r="X12">
        <v>2350</v>
      </c>
      <c r="Y12">
        <f t="shared" si="2"/>
        <v>204</v>
      </c>
      <c r="Z12">
        <f t="shared" si="3"/>
        <v>0.27681846662145049</v>
      </c>
      <c r="AA12">
        <f t="shared" si="4"/>
        <v>0.31931836412978881</v>
      </c>
    </row>
    <row r="13" spans="2:29" x14ac:dyDescent="0.2">
      <c r="B13">
        <v>2534</v>
      </c>
      <c r="C13" t="s">
        <v>112</v>
      </c>
      <c r="D13" s="1">
        <v>45027</v>
      </c>
      <c r="E13" s="2">
        <v>0.62718750000000001</v>
      </c>
      <c r="F13">
        <v>-1</v>
      </c>
      <c r="G13">
        <v>81.2</v>
      </c>
      <c r="H13">
        <v>20105</v>
      </c>
      <c r="I13">
        <v>4100</v>
      </c>
      <c r="J13">
        <v>-1</v>
      </c>
      <c r="K13">
        <v>-4101</v>
      </c>
      <c r="L13">
        <v>20</v>
      </c>
      <c r="M13">
        <v>1</v>
      </c>
      <c r="N13" t="s">
        <v>81</v>
      </c>
      <c r="O13">
        <v>20</v>
      </c>
      <c r="P13">
        <v>0.42399999999999999</v>
      </c>
      <c r="Q13">
        <v>0.2</v>
      </c>
      <c r="R13">
        <v>82.54</v>
      </c>
      <c r="S13">
        <v>3787</v>
      </c>
      <c r="T13">
        <v>2135</v>
      </c>
      <c r="U13">
        <v>3587</v>
      </c>
      <c r="W13">
        <v>2142</v>
      </c>
      <c r="X13">
        <v>2355</v>
      </c>
      <c r="Y13">
        <f t="shared" si="2"/>
        <v>213</v>
      </c>
      <c r="Z13">
        <f t="shared" si="3"/>
        <v>0.27813647336204583</v>
      </c>
      <c r="AA13">
        <f t="shared" si="4"/>
        <v>0.32175814935519148</v>
      </c>
    </row>
    <row r="14" spans="2:29" x14ac:dyDescent="0.2">
      <c r="B14">
        <v>2531</v>
      </c>
      <c r="C14" t="s">
        <v>113</v>
      </c>
      <c r="D14" s="1">
        <v>45027</v>
      </c>
      <c r="E14" s="2">
        <v>0.62567129629629636</v>
      </c>
      <c r="F14">
        <v>100</v>
      </c>
      <c r="G14">
        <v>81.2</v>
      </c>
      <c r="H14">
        <v>20105</v>
      </c>
      <c r="I14">
        <v>4100</v>
      </c>
      <c r="J14">
        <v>10107</v>
      </c>
      <c r="K14">
        <v>6007</v>
      </c>
      <c r="L14">
        <v>20</v>
      </c>
      <c r="M14">
        <v>1</v>
      </c>
      <c r="N14" t="s">
        <v>81</v>
      </c>
      <c r="O14">
        <v>20</v>
      </c>
      <c r="P14">
        <v>0.1552</v>
      </c>
      <c r="Q14">
        <v>0.2</v>
      </c>
      <c r="R14">
        <v>81.069999999999993</v>
      </c>
      <c r="S14">
        <v>3490</v>
      </c>
      <c r="T14">
        <v>2174</v>
      </c>
      <c r="U14">
        <v>3287</v>
      </c>
      <c r="W14">
        <v>2182</v>
      </c>
      <c r="X14">
        <v>2623</v>
      </c>
      <c r="Y14">
        <f t="shared" si="2"/>
        <v>441</v>
      </c>
      <c r="Z14">
        <f t="shared" si="3"/>
        <v>0.19094895516296409</v>
      </c>
      <c r="AA14">
        <f t="shared" si="4"/>
        <v>0.22906982262887171</v>
      </c>
    </row>
    <row r="15" spans="2:29" x14ac:dyDescent="0.2">
      <c r="B15">
        <v>2533</v>
      </c>
      <c r="C15" t="s">
        <v>114</v>
      </c>
      <c r="D15" s="1">
        <v>45027</v>
      </c>
      <c r="E15" s="2">
        <v>0.62642361111111111</v>
      </c>
      <c r="F15">
        <v>-1</v>
      </c>
      <c r="G15">
        <v>81.2</v>
      </c>
      <c r="H15">
        <v>20105</v>
      </c>
      <c r="I15">
        <v>4100</v>
      </c>
      <c r="J15">
        <v>10017</v>
      </c>
      <c r="K15">
        <v>-4101</v>
      </c>
      <c r="L15">
        <v>20</v>
      </c>
      <c r="M15">
        <v>1</v>
      </c>
      <c r="N15" t="s">
        <v>81</v>
      </c>
      <c r="O15">
        <v>20</v>
      </c>
      <c r="P15">
        <v>0.41399999999999998</v>
      </c>
      <c r="Q15">
        <v>0.2</v>
      </c>
      <c r="R15">
        <v>80.59</v>
      </c>
      <c r="S15">
        <v>3779</v>
      </c>
      <c r="T15">
        <v>2138</v>
      </c>
      <c r="U15">
        <v>3578</v>
      </c>
      <c r="W15">
        <v>2143</v>
      </c>
      <c r="X15">
        <v>2358</v>
      </c>
      <c r="Y15">
        <f t="shared" si="2"/>
        <v>215</v>
      </c>
      <c r="Z15">
        <f t="shared" si="3"/>
        <v>0.27377414945599604</v>
      </c>
      <c r="AA15">
        <f t="shared" si="4"/>
        <v>0.31675548048540775</v>
      </c>
    </row>
    <row r="16" spans="2:29" x14ac:dyDescent="0.2">
      <c r="B16">
        <v>2530</v>
      </c>
      <c r="C16" t="s">
        <v>115</v>
      </c>
      <c r="D16" s="1">
        <v>45027</v>
      </c>
      <c r="E16" s="2">
        <v>0.62515046296296295</v>
      </c>
      <c r="F16">
        <v>100</v>
      </c>
      <c r="G16">
        <v>81.8</v>
      </c>
      <c r="H16">
        <v>20105</v>
      </c>
      <c r="I16">
        <v>4100</v>
      </c>
      <c r="J16">
        <v>10129</v>
      </c>
      <c r="K16">
        <v>6029</v>
      </c>
      <c r="L16">
        <v>20</v>
      </c>
      <c r="M16">
        <v>1</v>
      </c>
      <c r="N16" t="s">
        <v>81</v>
      </c>
      <c r="O16">
        <v>20</v>
      </c>
      <c r="P16">
        <v>7.9600000000000004E-2</v>
      </c>
      <c r="Q16">
        <v>0.2</v>
      </c>
      <c r="R16">
        <v>81.67</v>
      </c>
      <c r="S16">
        <v>3167</v>
      </c>
      <c r="T16">
        <v>2074</v>
      </c>
      <c r="U16">
        <v>2967</v>
      </c>
      <c r="W16">
        <v>2099</v>
      </c>
      <c r="X16">
        <v>2911</v>
      </c>
      <c r="Y16">
        <f t="shared" si="2"/>
        <v>812</v>
      </c>
      <c r="Z16">
        <f t="shared" si="3"/>
        <v>0.11383523735382207</v>
      </c>
      <c r="AA16">
        <f t="shared" si="4"/>
        <v>0.14873809778093189</v>
      </c>
    </row>
    <row r="17" spans="2:27" x14ac:dyDescent="0.2">
      <c r="B17">
        <v>2528</v>
      </c>
      <c r="C17" t="s">
        <v>116</v>
      </c>
      <c r="D17" s="1">
        <v>45027</v>
      </c>
      <c r="E17" s="2">
        <v>0.62392361111111116</v>
      </c>
      <c r="F17">
        <v>39.799999999999997</v>
      </c>
      <c r="G17">
        <v>26</v>
      </c>
      <c r="H17">
        <v>20105</v>
      </c>
      <c r="I17">
        <v>4100</v>
      </c>
      <c r="J17">
        <v>7502</v>
      </c>
      <c r="K17">
        <v>3402</v>
      </c>
      <c r="L17">
        <v>20</v>
      </c>
      <c r="M17">
        <v>1</v>
      </c>
      <c r="N17" t="s">
        <v>81</v>
      </c>
      <c r="O17">
        <v>20</v>
      </c>
      <c r="P17">
        <v>2.0500000000000001E-2</v>
      </c>
      <c r="Q17">
        <v>0.2</v>
      </c>
      <c r="R17">
        <v>26</v>
      </c>
      <c r="S17">
        <v>1947</v>
      </c>
      <c r="T17">
        <v>1727</v>
      </c>
      <c r="U17">
        <v>1727</v>
      </c>
      <c r="W17">
        <v>1791</v>
      </c>
      <c r="X17">
        <v>4030</v>
      </c>
      <c r="Y17">
        <f t="shared" si="2"/>
        <v>2239</v>
      </c>
      <c r="Z17">
        <f t="shared" si="3"/>
        <v>-1.5098714725460569E-2</v>
      </c>
      <c r="AA17">
        <f t="shared" si="4"/>
        <v>-9.8908558640142964E-3</v>
      </c>
    </row>
    <row r="18" spans="2:27" x14ac:dyDescent="0.2">
      <c r="B18">
        <v>2529</v>
      </c>
      <c r="C18" t="s">
        <v>117</v>
      </c>
      <c r="D18" s="1">
        <v>45027</v>
      </c>
      <c r="E18" s="2">
        <v>0.62451388888888892</v>
      </c>
      <c r="F18">
        <v>100</v>
      </c>
      <c r="G18">
        <v>81.8</v>
      </c>
      <c r="H18">
        <v>20105</v>
      </c>
      <c r="I18">
        <v>4100</v>
      </c>
      <c r="J18">
        <v>10131</v>
      </c>
      <c r="K18">
        <v>6031</v>
      </c>
      <c r="L18">
        <v>20</v>
      </c>
      <c r="M18">
        <v>1</v>
      </c>
      <c r="N18" t="s">
        <v>81</v>
      </c>
      <c r="O18">
        <v>20</v>
      </c>
      <c r="P18">
        <v>5.11E-2</v>
      </c>
      <c r="Q18">
        <v>0.2</v>
      </c>
      <c r="R18">
        <v>81.73</v>
      </c>
      <c r="S18">
        <v>2918</v>
      </c>
      <c r="T18">
        <v>1934</v>
      </c>
      <c r="U18">
        <v>2710</v>
      </c>
      <c r="W18">
        <v>1967</v>
      </c>
      <c r="X18">
        <v>3103</v>
      </c>
      <c r="Y18">
        <f t="shared" si="2"/>
        <v>1136</v>
      </c>
      <c r="Z18">
        <f t="shared" si="3"/>
        <v>6.5828172300877952E-2</v>
      </c>
      <c r="AA18">
        <f t="shared" si="4"/>
        <v>9.9701094401143053E-2</v>
      </c>
    </row>
    <row r="19" spans="2:27" x14ac:dyDescent="0.2">
      <c r="B19">
        <v>2527</v>
      </c>
      <c r="C19" t="s">
        <v>118</v>
      </c>
      <c r="D19" s="1">
        <v>45027</v>
      </c>
      <c r="E19" s="2">
        <v>0.62353009259259262</v>
      </c>
      <c r="F19">
        <v>2.6</v>
      </c>
      <c r="G19">
        <v>2.5</v>
      </c>
      <c r="H19">
        <v>20105</v>
      </c>
      <c r="I19">
        <v>4080</v>
      </c>
      <c r="J19">
        <v>5129</v>
      </c>
      <c r="K19">
        <v>1049</v>
      </c>
      <c r="L19">
        <v>20</v>
      </c>
      <c r="M19">
        <v>1</v>
      </c>
      <c r="N19" t="s">
        <v>81</v>
      </c>
      <c r="O19">
        <v>20</v>
      </c>
      <c r="P19">
        <v>0</v>
      </c>
      <c r="Q19">
        <v>0.2</v>
      </c>
      <c r="R19">
        <v>2.472</v>
      </c>
      <c r="S19">
        <v>1747</v>
      </c>
      <c r="T19">
        <v>1551</v>
      </c>
      <c r="U19">
        <v>1551</v>
      </c>
      <c r="W19">
        <v>2470</v>
      </c>
      <c r="X19">
        <v>4074</v>
      </c>
      <c r="Y19">
        <f t="shared" si="2"/>
        <v>1604</v>
      </c>
      <c r="Z19">
        <f t="shared" si="3"/>
        <v>9.0027610425564841E-3</v>
      </c>
      <c r="AA19">
        <f t="shared" si="4"/>
        <v>-2.1377777224984222E-3</v>
      </c>
    </row>
    <row r="20" spans="2:27" x14ac:dyDescent="0.2">
      <c r="B20">
        <v>2525</v>
      </c>
      <c r="C20" t="s">
        <v>119</v>
      </c>
      <c r="D20" s="1">
        <v>45027</v>
      </c>
      <c r="E20" s="2">
        <v>0.62267361111111108</v>
      </c>
      <c r="F20">
        <v>100</v>
      </c>
      <c r="G20">
        <v>81.5</v>
      </c>
      <c r="H20">
        <v>20105</v>
      </c>
      <c r="I20">
        <v>4100</v>
      </c>
      <c r="J20">
        <v>10119</v>
      </c>
      <c r="K20">
        <v>6019</v>
      </c>
      <c r="L20">
        <v>20</v>
      </c>
      <c r="M20">
        <v>1</v>
      </c>
      <c r="N20" t="s">
        <v>81</v>
      </c>
      <c r="O20">
        <v>20</v>
      </c>
      <c r="P20">
        <v>7.3499999999999998E-3</v>
      </c>
      <c r="Q20">
        <v>0.2</v>
      </c>
      <c r="R20">
        <v>81.400000000000006</v>
      </c>
      <c r="S20">
        <v>2046</v>
      </c>
      <c r="T20">
        <v>1250</v>
      </c>
      <c r="U20">
        <v>1823</v>
      </c>
      <c r="W20">
        <v>1306</v>
      </c>
      <c r="X20">
        <v>3518</v>
      </c>
      <c r="Y20">
        <f t="shared" si="2"/>
        <v>2212</v>
      </c>
      <c r="Z20">
        <f t="shared" si="3"/>
        <v>-6.3054373798791905E-2</v>
      </c>
      <c r="AA20">
        <f t="shared" si="4"/>
        <v>-2.6124120173287697E-2</v>
      </c>
    </row>
    <row r="21" spans="2:27" x14ac:dyDescent="0.2">
      <c r="B21">
        <v>2521</v>
      </c>
      <c r="C21" t="s">
        <v>112</v>
      </c>
      <c r="D21" s="1">
        <v>45027</v>
      </c>
      <c r="E21" s="2">
        <v>0.61950231481481477</v>
      </c>
      <c r="F21">
        <v>100</v>
      </c>
      <c r="G21">
        <v>54.3</v>
      </c>
      <c r="H21">
        <v>20945</v>
      </c>
      <c r="I21">
        <v>4100</v>
      </c>
      <c r="J21">
        <v>9014</v>
      </c>
      <c r="K21">
        <v>4914</v>
      </c>
      <c r="L21">
        <v>20</v>
      </c>
      <c r="M21">
        <v>2</v>
      </c>
      <c r="N21" t="s">
        <v>120</v>
      </c>
      <c r="O21">
        <v>20</v>
      </c>
      <c r="P21">
        <v>0.42399999999999999</v>
      </c>
      <c r="Q21">
        <v>0.2</v>
      </c>
      <c r="R21">
        <v>54.256399999999999</v>
      </c>
      <c r="S21">
        <v>1711</v>
      </c>
      <c r="T21">
        <v>463</v>
      </c>
      <c r="U21">
        <v>1459</v>
      </c>
      <c r="W21">
        <v>498</v>
      </c>
      <c r="X21">
        <v>2271</v>
      </c>
      <c r="Y21">
        <f t="shared" si="2"/>
        <v>1773</v>
      </c>
      <c r="Z21">
        <f t="shared" si="3"/>
        <v>-0.1240572525655065</v>
      </c>
      <c r="AA21">
        <f t="shared" si="4"/>
        <v>-7.1738658453985596E-2</v>
      </c>
    </row>
    <row r="22" spans="2:27" x14ac:dyDescent="0.2">
      <c r="B22">
        <v>2522</v>
      </c>
      <c r="C22" t="s">
        <v>111</v>
      </c>
      <c r="D22" s="1">
        <v>45027</v>
      </c>
      <c r="E22" s="2">
        <v>0.62020833333333336</v>
      </c>
      <c r="F22">
        <v>100</v>
      </c>
      <c r="G22">
        <v>52.5</v>
      </c>
      <c r="H22">
        <v>20945</v>
      </c>
      <c r="I22">
        <v>4100</v>
      </c>
      <c r="J22">
        <v>8932</v>
      </c>
      <c r="K22">
        <v>4832</v>
      </c>
      <c r="L22">
        <v>20</v>
      </c>
      <c r="M22">
        <v>2</v>
      </c>
      <c r="N22" t="s">
        <v>120</v>
      </c>
      <c r="O22">
        <v>20</v>
      </c>
      <c r="P22">
        <v>0.437</v>
      </c>
      <c r="Q22">
        <v>0.2</v>
      </c>
      <c r="R22">
        <v>52.46</v>
      </c>
      <c r="S22">
        <v>1707</v>
      </c>
      <c r="T22">
        <v>462</v>
      </c>
      <c r="U22">
        <v>1455</v>
      </c>
      <c r="W22">
        <v>475</v>
      </c>
      <c r="X22">
        <v>2262</v>
      </c>
      <c r="Y22">
        <f t="shared" si="2"/>
        <v>1787</v>
      </c>
      <c r="Z22">
        <f t="shared" si="3"/>
        <v>-0.12728427046794699</v>
      </c>
      <c r="AA22">
        <f t="shared" si="4"/>
        <v>-7.5124879697057181E-2</v>
      </c>
    </row>
    <row r="23" spans="2:27" x14ac:dyDescent="0.2">
      <c r="B23">
        <v>2520</v>
      </c>
      <c r="C23" t="s">
        <v>114</v>
      </c>
      <c r="D23" s="1">
        <v>45027</v>
      </c>
      <c r="E23" s="2">
        <v>0.61891203703703701</v>
      </c>
      <c r="F23">
        <v>100</v>
      </c>
      <c r="G23">
        <v>52.1</v>
      </c>
      <c r="H23">
        <v>20945</v>
      </c>
      <c r="I23">
        <v>4100</v>
      </c>
      <c r="J23">
        <v>8911</v>
      </c>
      <c r="K23">
        <v>4811</v>
      </c>
      <c r="L23">
        <v>20</v>
      </c>
      <c r="M23">
        <v>2</v>
      </c>
      <c r="N23" t="s">
        <v>120</v>
      </c>
      <c r="O23">
        <v>20</v>
      </c>
      <c r="P23">
        <v>0.41399999999999998</v>
      </c>
      <c r="Q23">
        <v>0.2</v>
      </c>
      <c r="R23">
        <v>52</v>
      </c>
      <c r="S23">
        <v>1707</v>
      </c>
      <c r="T23">
        <v>467</v>
      </c>
      <c r="U23">
        <v>1455</v>
      </c>
      <c r="W23">
        <v>483</v>
      </c>
      <c r="X23">
        <v>2274</v>
      </c>
      <c r="Y23">
        <f t="shared" si="2"/>
        <v>1791</v>
      </c>
      <c r="Z23">
        <f t="shared" si="3"/>
        <v>-0.12534142160153811</v>
      </c>
      <c r="AA23">
        <f t="shared" si="4"/>
        <v>-7.3671376672037089E-2</v>
      </c>
    </row>
    <row r="24" spans="2:27" x14ac:dyDescent="0.2">
      <c r="B24">
        <v>2519</v>
      </c>
      <c r="C24" t="s">
        <v>113</v>
      </c>
      <c r="D24" s="1">
        <v>45027</v>
      </c>
      <c r="E24" s="2">
        <v>0.61827546296296299</v>
      </c>
      <c r="F24">
        <v>100</v>
      </c>
      <c r="G24">
        <v>51.7</v>
      </c>
      <c r="H24">
        <v>20945</v>
      </c>
      <c r="I24">
        <v>4100</v>
      </c>
      <c r="J24">
        <v>8895</v>
      </c>
      <c r="K24">
        <v>4795</v>
      </c>
      <c r="L24">
        <v>20</v>
      </c>
      <c r="M24">
        <v>2</v>
      </c>
      <c r="N24" t="s">
        <v>120</v>
      </c>
      <c r="O24">
        <v>20</v>
      </c>
      <c r="P24">
        <v>0.1552</v>
      </c>
      <c r="Q24">
        <v>0.2</v>
      </c>
      <c r="R24">
        <v>51.66</v>
      </c>
      <c r="S24">
        <v>1722</v>
      </c>
      <c r="T24">
        <v>631</v>
      </c>
      <c r="U24">
        <v>1455</v>
      </c>
      <c r="W24">
        <v>663</v>
      </c>
      <c r="X24">
        <v>2331</v>
      </c>
      <c r="Y24">
        <f t="shared" si="2"/>
        <v>1668</v>
      </c>
      <c r="Z24">
        <f t="shared" si="3"/>
        <v>-8.7951849825427988E-2</v>
      </c>
      <c r="AA24">
        <f t="shared" si="4"/>
        <v>-4.2278137115572267E-2</v>
      </c>
    </row>
    <row r="25" spans="2:27" x14ac:dyDescent="0.2">
      <c r="B25">
        <v>2518</v>
      </c>
      <c r="C25" t="s">
        <v>115</v>
      </c>
      <c r="D25" s="1">
        <v>45027</v>
      </c>
      <c r="E25" s="2">
        <v>0.617650462962963</v>
      </c>
      <c r="F25">
        <v>100</v>
      </c>
      <c r="G25">
        <v>53</v>
      </c>
      <c r="H25">
        <v>20945</v>
      </c>
      <c r="I25">
        <v>4100</v>
      </c>
      <c r="J25">
        <v>8953</v>
      </c>
      <c r="K25">
        <v>4853</v>
      </c>
      <c r="L25">
        <v>20</v>
      </c>
      <c r="M25">
        <v>2</v>
      </c>
      <c r="N25" t="s">
        <v>120</v>
      </c>
      <c r="O25">
        <v>20</v>
      </c>
      <c r="P25">
        <v>7.9600000000000004E-2</v>
      </c>
      <c r="Q25">
        <v>0.2</v>
      </c>
      <c r="R25">
        <v>52.9</v>
      </c>
      <c r="S25">
        <v>1722</v>
      </c>
      <c r="T25">
        <v>743</v>
      </c>
      <c r="U25">
        <v>1462</v>
      </c>
      <c r="W25">
        <v>819</v>
      </c>
      <c r="X25">
        <v>2491</v>
      </c>
      <c r="Y25">
        <f t="shared" si="2"/>
        <v>1672</v>
      </c>
      <c r="Z25">
        <f t="shared" si="3"/>
        <v>-6.8847818256657423E-2</v>
      </c>
      <c r="AA25">
        <f t="shared" si="4"/>
        <v>-2.819125237572883E-2</v>
      </c>
    </row>
    <row r="26" spans="2:27" x14ac:dyDescent="0.2">
      <c r="B26">
        <v>2517</v>
      </c>
      <c r="C26" t="s">
        <v>117</v>
      </c>
      <c r="D26" s="1">
        <v>45027</v>
      </c>
      <c r="E26" s="2">
        <v>0.61682870370370368</v>
      </c>
      <c r="F26">
        <v>100</v>
      </c>
      <c r="G26">
        <v>53.4</v>
      </c>
      <c r="H26">
        <v>20945</v>
      </c>
      <c r="I26">
        <v>4100</v>
      </c>
      <c r="J26">
        <v>8973</v>
      </c>
      <c r="K26">
        <v>4873</v>
      </c>
      <c r="L26">
        <v>20</v>
      </c>
      <c r="M26">
        <v>2</v>
      </c>
      <c r="N26" t="s">
        <v>120</v>
      </c>
      <c r="O26">
        <v>20</v>
      </c>
      <c r="P26">
        <v>5.11E-2</v>
      </c>
      <c r="Q26">
        <v>0.2</v>
      </c>
      <c r="R26">
        <v>53.35</v>
      </c>
      <c r="S26">
        <v>1723</v>
      </c>
      <c r="T26">
        <v>835</v>
      </c>
      <c r="U26">
        <v>1470</v>
      </c>
      <c r="W26">
        <v>935</v>
      </c>
      <c r="X26">
        <v>2655</v>
      </c>
      <c r="Y26">
        <f t="shared" si="2"/>
        <v>1720</v>
      </c>
      <c r="Z26">
        <f t="shared" si="3"/>
        <v>-5.9049490973035065E-2</v>
      </c>
      <c r="AA26">
        <f t="shared" si="4"/>
        <v>-2.2575172934489528E-2</v>
      </c>
    </row>
    <row r="27" spans="2:27" x14ac:dyDescent="0.2">
      <c r="B27">
        <v>2516</v>
      </c>
      <c r="C27" t="s">
        <v>116</v>
      </c>
      <c r="D27" s="1">
        <v>45027</v>
      </c>
      <c r="E27" s="2">
        <v>0.61608796296296298</v>
      </c>
      <c r="F27">
        <v>49.5</v>
      </c>
      <c r="G27">
        <v>24.3</v>
      </c>
      <c r="H27">
        <v>20945</v>
      </c>
      <c r="I27">
        <v>3940</v>
      </c>
      <c r="J27">
        <v>7228</v>
      </c>
      <c r="K27">
        <v>3288</v>
      </c>
      <c r="L27">
        <v>20</v>
      </c>
      <c r="M27">
        <v>2</v>
      </c>
      <c r="N27" t="s">
        <v>120</v>
      </c>
      <c r="O27">
        <v>20</v>
      </c>
      <c r="P27">
        <v>2.0500000000000001E-2</v>
      </c>
      <c r="Q27">
        <v>0.2</v>
      </c>
      <c r="R27">
        <v>24.29</v>
      </c>
      <c r="S27">
        <v>1775</v>
      </c>
      <c r="T27">
        <v>1382</v>
      </c>
      <c r="U27">
        <v>1719</v>
      </c>
      <c r="W27">
        <v>1426</v>
      </c>
      <c r="X27">
        <v>3783</v>
      </c>
      <c r="Y27">
        <f t="shared" si="2"/>
        <v>2357</v>
      </c>
      <c r="Z27">
        <f t="shared" si="3"/>
        <v>-3.2848504849517249E-2</v>
      </c>
      <c r="AA27">
        <f t="shared" si="4"/>
        <v>-2.1124984237705421E-2</v>
      </c>
    </row>
    <row r="28" spans="2:27" x14ac:dyDescent="0.2">
      <c r="B28">
        <v>2515</v>
      </c>
      <c r="C28" t="s">
        <v>119</v>
      </c>
      <c r="D28" s="1">
        <v>45027</v>
      </c>
      <c r="E28" s="2">
        <v>0.61549768518518522</v>
      </c>
      <c r="F28">
        <v>100</v>
      </c>
      <c r="G28">
        <v>54</v>
      </c>
      <c r="H28">
        <v>20945</v>
      </c>
      <c r="I28">
        <v>4100</v>
      </c>
      <c r="J28">
        <v>8999</v>
      </c>
      <c r="K28">
        <v>4899</v>
      </c>
      <c r="L28">
        <v>20</v>
      </c>
      <c r="M28">
        <v>2</v>
      </c>
      <c r="N28" t="s">
        <v>120</v>
      </c>
      <c r="O28">
        <v>20</v>
      </c>
      <c r="P28">
        <v>7.3499999999999998E-3</v>
      </c>
      <c r="Q28">
        <v>0.2</v>
      </c>
      <c r="R28">
        <v>53.92</v>
      </c>
      <c r="S28">
        <v>1778</v>
      </c>
      <c r="T28">
        <v>934</v>
      </c>
      <c r="U28">
        <v>1483</v>
      </c>
      <c r="W28">
        <v>1066</v>
      </c>
      <c r="X28">
        <v>3326</v>
      </c>
      <c r="Y28">
        <f t="shared" si="2"/>
        <v>2260</v>
      </c>
      <c r="Z28">
        <f t="shared" si="3"/>
        <v>-7.3185928071872436E-2</v>
      </c>
      <c r="AA28">
        <f t="shared" si="4"/>
        <v>-4.0403967278168154E-2</v>
      </c>
    </row>
    <row r="29" spans="2:27" x14ac:dyDescent="0.2">
      <c r="B29">
        <v>2514</v>
      </c>
      <c r="C29" t="s">
        <v>118</v>
      </c>
      <c r="D29" s="1">
        <v>45027</v>
      </c>
      <c r="E29" s="2">
        <v>0.61484953703703704</v>
      </c>
      <c r="F29">
        <v>0</v>
      </c>
      <c r="G29">
        <v>2.5</v>
      </c>
      <c r="H29">
        <v>20945</v>
      </c>
      <c r="I29">
        <v>4080</v>
      </c>
      <c r="J29">
        <v>5130</v>
      </c>
      <c r="K29">
        <v>1050</v>
      </c>
      <c r="L29">
        <v>20</v>
      </c>
      <c r="M29">
        <v>2</v>
      </c>
      <c r="N29" t="s">
        <v>120</v>
      </c>
      <c r="O29">
        <v>20</v>
      </c>
      <c r="P29">
        <v>0</v>
      </c>
      <c r="Q29">
        <v>0.2</v>
      </c>
      <c r="R29">
        <v>2.4769999999999999</v>
      </c>
      <c r="S29">
        <v>1718</v>
      </c>
      <c r="T29">
        <v>1514</v>
      </c>
      <c r="U29">
        <v>1514</v>
      </c>
      <c r="W29">
        <v>2274</v>
      </c>
      <c r="X29">
        <v>4078</v>
      </c>
      <c r="Y29">
        <f t="shared" si="2"/>
        <v>1804</v>
      </c>
      <c r="Z29">
        <f t="shared" si="3"/>
        <v>4.8331405289229433E-3</v>
      </c>
      <c r="AA29">
        <f t="shared" si="4"/>
        <v>-3.3307324977512038E-3</v>
      </c>
    </row>
    <row r="30" spans="2:27" x14ac:dyDescent="0.2">
      <c r="B30">
        <v>2507</v>
      </c>
      <c r="C30" t="s">
        <v>111</v>
      </c>
      <c r="D30" s="1">
        <v>45027</v>
      </c>
      <c r="E30" s="2">
        <v>0.608912037037037</v>
      </c>
      <c r="F30">
        <v>80.3</v>
      </c>
      <c r="G30">
        <v>59.6</v>
      </c>
      <c r="H30">
        <v>28985</v>
      </c>
      <c r="I30">
        <v>4380</v>
      </c>
      <c r="J30">
        <v>6438</v>
      </c>
      <c r="K30">
        <v>2058</v>
      </c>
      <c r="L30">
        <v>20</v>
      </c>
      <c r="M30">
        <v>1</v>
      </c>
      <c r="N30" t="s">
        <v>81</v>
      </c>
      <c r="O30">
        <v>8</v>
      </c>
      <c r="P30">
        <v>0.437</v>
      </c>
      <c r="Q30">
        <v>0.78</v>
      </c>
      <c r="R30">
        <v>83.11</v>
      </c>
      <c r="S30">
        <v>3643</v>
      </c>
      <c r="T30">
        <v>2295</v>
      </c>
      <c r="U30">
        <v>3558</v>
      </c>
      <c r="W30">
        <v>2295</v>
      </c>
      <c r="X30">
        <v>2499</v>
      </c>
      <c r="Y30">
        <f t="shared" si="2"/>
        <v>204</v>
      </c>
      <c r="Z30">
        <f t="shared" si="3"/>
        <v>7.5040402335459444E-2</v>
      </c>
      <c r="AA30">
        <f t="shared" si="4"/>
        <v>8.4841773856721564E-2</v>
      </c>
    </row>
    <row r="31" spans="2:27" x14ac:dyDescent="0.2">
      <c r="B31">
        <v>2506</v>
      </c>
      <c r="C31" t="s">
        <v>112</v>
      </c>
      <c r="D31" s="1">
        <v>45027</v>
      </c>
      <c r="E31" s="2">
        <v>0.60826388888888883</v>
      </c>
      <c r="F31">
        <v>82</v>
      </c>
      <c r="G31">
        <v>61.8</v>
      </c>
      <c r="H31">
        <v>28985</v>
      </c>
      <c r="I31">
        <v>4380</v>
      </c>
      <c r="J31">
        <v>6476</v>
      </c>
      <c r="K31">
        <v>2096</v>
      </c>
      <c r="L31">
        <v>20</v>
      </c>
      <c r="M31">
        <v>1</v>
      </c>
      <c r="N31" t="s">
        <v>81</v>
      </c>
      <c r="O31">
        <v>8</v>
      </c>
      <c r="P31">
        <v>5.11E-2</v>
      </c>
      <c r="Q31">
        <v>0.78</v>
      </c>
      <c r="R31">
        <v>83.11</v>
      </c>
      <c r="S31">
        <v>3638</v>
      </c>
      <c r="T31">
        <v>2291</v>
      </c>
      <c r="U31">
        <v>3551</v>
      </c>
      <c r="W31">
        <v>2295</v>
      </c>
      <c r="X31">
        <v>2502</v>
      </c>
      <c r="Y31">
        <f t="shared" si="2"/>
        <v>207</v>
      </c>
      <c r="Z31">
        <f t="shared" si="3"/>
        <v>7.4587785326827458E-2</v>
      </c>
      <c r="AA31">
        <f t="shared" si="4"/>
        <v>8.4369331386134172E-2</v>
      </c>
    </row>
    <row r="32" spans="2:27" x14ac:dyDescent="0.2">
      <c r="B32">
        <v>2505</v>
      </c>
      <c r="C32" t="s">
        <v>114</v>
      </c>
      <c r="D32" s="1">
        <v>45027</v>
      </c>
      <c r="E32" s="2">
        <v>0.60765046296296299</v>
      </c>
      <c r="F32">
        <v>79.7</v>
      </c>
      <c r="G32">
        <v>58.8</v>
      </c>
      <c r="H32">
        <v>28985</v>
      </c>
      <c r="I32">
        <v>4400</v>
      </c>
      <c r="J32">
        <v>6445</v>
      </c>
      <c r="K32">
        <v>2045</v>
      </c>
      <c r="L32">
        <v>20</v>
      </c>
      <c r="M32">
        <v>1</v>
      </c>
      <c r="N32" t="s">
        <v>81</v>
      </c>
      <c r="O32">
        <v>8</v>
      </c>
      <c r="P32">
        <v>0.41399999999999998</v>
      </c>
      <c r="Q32">
        <v>0.78</v>
      </c>
      <c r="R32">
        <v>70</v>
      </c>
      <c r="S32">
        <v>3630</v>
      </c>
      <c r="T32">
        <v>2290</v>
      </c>
      <c r="U32">
        <v>3467</v>
      </c>
      <c r="W32">
        <v>2294</v>
      </c>
      <c r="X32">
        <v>2515</v>
      </c>
      <c r="Y32">
        <f t="shared" ref="Y32:Y54" si="5">X32-W32</f>
        <v>221</v>
      </c>
      <c r="Z32">
        <f>((R32^0.5)/(120*3.1415*Q32))*LN(W32/Y32)</f>
        <v>6.6578111728014797E-2</v>
      </c>
      <c r="AA32">
        <f t="shared" ref="AA32:AA54" si="6">((R32^0.5)/(120*3.14*Q32))*LN((W32*(2*S32-W32))/(S32*Y32))</f>
        <v>7.5531000480603475E-2</v>
      </c>
    </row>
    <row r="33" spans="25:27" x14ac:dyDescent="0.2">
      <c r="Y33">
        <f t="shared" si="5"/>
        <v>0</v>
      </c>
      <c r="Z33" t="e">
        <f t="shared" ref="Z33:Z54" si="7">((R33^0.5)/(120*3.1415*Q33))*LN(W33/Y33)</f>
        <v>#DIV/0!</v>
      </c>
      <c r="AA33" t="e">
        <f t="shared" si="6"/>
        <v>#DIV/0!</v>
      </c>
    </row>
    <row r="34" spans="25:27" x14ac:dyDescent="0.2">
      <c r="Y34">
        <f t="shared" si="5"/>
        <v>0</v>
      </c>
      <c r="Z34" t="e">
        <f t="shared" si="7"/>
        <v>#DIV/0!</v>
      </c>
      <c r="AA34" t="e">
        <f t="shared" si="6"/>
        <v>#DIV/0!</v>
      </c>
    </row>
    <row r="35" spans="25:27" x14ac:dyDescent="0.2">
      <c r="Y35">
        <f t="shared" si="5"/>
        <v>0</v>
      </c>
      <c r="Z35" t="e">
        <f t="shared" si="7"/>
        <v>#DIV/0!</v>
      </c>
      <c r="AA35" t="e">
        <f t="shared" si="6"/>
        <v>#DIV/0!</v>
      </c>
    </row>
    <row r="36" spans="25:27" x14ac:dyDescent="0.2">
      <c r="Y36">
        <f t="shared" si="5"/>
        <v>0</v>
      </c>
      <c r="Z36" t="e">
        <f t="shared" si="7"/>
        <v>#DIV/0!</v>
      </c>
      <c r="AA36" t="e">
        <f t="shared" si="6"/>
        <v>#DIV/0!</v>
      </c>
    </row>
    <row r="37" spans="25:27" x14ac:dyDescent="0.2">
      <c r="Y37">
        <f t="shared" si="5"/>
        <v>0</v>
      </c>
      <c r="Z37" t="e">
        <f t="shared" si="7"/>
        <v>#DIV/0!</v>
      </c>
      <c r="AA37" t="e">
        <f t="shared" si="6"/>
        <v>#DIV/0!</v>
      </c>
    </row>
    <row r="38" spans="25:27" x14ac:dyDescent="0.2">
      <c r="Y38">
        <f t="shared" si="5"/>
        <v>0</v>
      </c>
      <c r="Z38" t="e">
        <f t="shared" si="7"/>
        <v>#DIV/0!</v>
      </c>
      <c r="AA38" t="e">
        <f t="shared" si="6"/>
        <v>#DIV/0!</v>
      </c>
    </row>
    <row r="39" spans="25:27" x14ac:dyDescent="0.2">
      <c r="Y39">
        <f t="shared" si="5"/>
        <v>0</v>
      </c>
      <c r="Z39" t="e">
        <f t="shared" si="7"/>
        <v>#DIV/0!</v>
      </c>
      <c r="AA39" t="e">
        <f t="shared" si="6"/>
        <v>#DIV/0!</v>
      </c>
    </row>
    <row r="40" spans="25:27" x14ac:dyDescent="0.2">
      <c r="Y40">
        <f t="shared" si="5"/>
        <v>0</v>
      </c>
      <c r="Z40" t="e">
        <f t="shared" si="7"/>
        <v>#DIV/0!</v>
      </c>
      <c r="AA40" t="e">
        <f t="shared" si="6"/>
        <v>#DIV/0!</v>
      </c>
    </row>
    <row r="41" spans="25:27" x14ac:dyDescent="0.2">
      <c r="Y41">
        <f t="shared" si="5"/>
        <v>0</v>
      </c>
      <c r="Z41" t="e">
        <f t="shared" si="7"/>
        <v>#DIV/0!</v>
      </c>
      <c r="AA41" t="e">
        <f t="shared" si="6"/>
        <v>#DIV/0!</v>
      </c>
    </row>
    <row r="42" spans="25:27" x14ac:dyDescent="0.2">
      <c r="Y42">
        <f t="shared" si="5"/>
        <v>0</v>
      </c>
      <c r="Z42" t="e">
        <f t="shared" si="7"/>
        <v>#DIV/0!</v>
      </c>
      <c r="AA42" t="e">
        <f t="shared" si="6"/>
        <v>#DIV/0!</v>
      </c>
    </row>
    <row r="43" spans="25:27" x14ac:dyDescent="0.2">
      <c r="Y43">
        <f t="shared" si="5"/>
        <v>0</v>
      </c>
      <c r="Z43" t="e">
        <f t="shared" si="7"/>
        <v>#DIV/0!</v>
      </c>
      <c r="AA43" t="e">
        <f t="shared" si="6"/>
        <v>#DIV/0!</v>
      </c>
    </row>
    <row r="44" spans="25:27" x14ac:dyDescent="0.2">
      <c r="Y44">
        <f t="shared" si="5"/>
        <v>0</v>
      </c>
      <c r="Z44" t="e">
        <f t="shared" si="7"/>
        <v>#DIV/0!</v>
      </c>
      <c r="AA44" t="e">
        <f t="shared" si="6"/>
        <v>#DIV/0!</v>
      </c>
    </row>
    <row r="45" spans="25:27" x14ac:dyDescent="0.2">
      <c r="Y45">
        <f t="shared" si="5"/>
        <v>0</v>
      </c>
      <c r="Z45" t="e">
        <f t="shared" si="7"/>
        <v>#DIV/0!</v>
      </c>
      <c r="AA45" t="e">
        <f t="shared" si="6"/>
        <v>#DIV/0!</v>
      </c>
    </row>
    <row r="46" spans="25:27" x14ac:dyDescent="0.2">
      <c r="Y46">
        <f t="shared" si="5"/>
        <v>0</v>
      </c>
      <c r="Z46" t="e">
        <f t="shared" si="7"/>
        <v>#DIV/0!</v>
      </c>
      <c r="AA46" t="e">
        <f t="shared" si="6"/>
        <v>#DIV/0!</v>
      </c>
    </row>
    <row r="47" spans="25:27" x14ac:dyDescent="0.2">
      <c r="Y47">
        <f t="shared" si="5"/>
        <v>0</v>
      </c>
      <c r="Z47" t="e">
        <f t="shared" si="7"/>
        <v>#DIV/0!</v>
      </c>
      <c r="AA47" t="e">
        <f t="shared" si="6"/>
        <v>#DIV/0!</v>
      </c>
    </row>
    <row r="48" spans="25:27" x14ac:dyDescent="0.2">
      <c r="Y48">
        <f t="shared" si="5"/>
        <v>0</v>
      </c>
      <c r="Z48" t="e">
        <f t="shared" si="7"/>
        <v>#DIV/0!</v>
      </c>
      <c r="AA48" t="e">
        <f t="shared" si="6"/>
        <v>#DIV/0!</v>
      </c>
    </row>
    <row r="49" spans="25:27" x14ac:dyDescent="0.2">
      <c r="Y49">
        <f t="shared" si="5"/>
        <v>0</v>
      </c>
      <c r="Z49" t="e">
        <f t="shared" si="7"/>
        <v>#DIV/0!</v>
      </c>
      <c r="AA49" t="e">
        <f t="shared" si="6"/>
        <v>#DIV/0!</v>
      </c>
    </row>
    <row r="50" spans="25:27" x14ac:dyDescent="0.2">
      <c r="Y50">
        <f t="shared" si="5"/>
        <v>0</v>
      </c>
      <c r="Z50" t="e">
        <f t="shared" si="7"/>
        <v>#DIV/0!</v>
      </c>
      <c r="AA50" t="e">
        <f t="shared" si="6"/>
        <v>#DIV/0!</v>
      </c>
    </row>
    <row r="51" spans="25:27" x14ac:dyDescent="0.2">
      <c r="Y51">
        <f t="shared" si="5"/>
        <v>0</v>
      </c>
      <c r="Z51" t="e">
        <f t="shared" si="7"/>
        <v>#DIV/0!</v>
      </c>
      <c r="AA51" t="e">
        <f t="shared" si="6"/>
        <v>#DIV/0!</v>
      </c>
    </row>
    <row r="52" spans="25:27" x14ac:dyDescent="0.2">
      <c r="Y52">
        <f t="shared" si="5"/>
        <v>0</v>
      </c>
      <c r="Z52" t="e">
        <f t="shared" si="7"/>
        <v>#DIV/0!</v>
      </c>
      <c r="AA52" t="e">
        <f t="shared" si="6"/>
        <v>#DIV/0!</v>
      </c>
    </row>
    <row r="53" spans="25:27" x14ac:dyDescent="0.2">
      <c r="Y53">
        <f t="shared" si="5"/>
        <v>0</v>
      </c>
      <c r="Z53" t="e">
        <f t="shared" si="7"/>
        <v>#DIV/0!</v>
      </c>
      <c r="AA53" t="e">
        <f t="shared" si="6"/>
        <v>#DIV/0!</v>
      </c>
    </row>
    <row r="54" spans="25:27" x14ac:dyDescent="0.2">
      <c r="Y54">
        <f t="shared" si="5"/>
        <v>0</v>
      </c>
      <c r="Z54" t="e">
        <f t="shared" si="7"/>
        <v>#DIV/0!</v>
      </c>
      <c r="AA54" t="e">
        <f t="shared" si="6"/>
        <v>#DIV/0!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C8D9-0991-FF42-B2A0-46F4648BF42D}">
  <dimension ref="B2:AA116"/>
  <sheetViews>
    <sheetView zoomScale="134" zoomScaleNormal="134" workbookViewId="0">
      <selection activeCell="O8" sqref="O8:AA9"/>
    </sheetView>
  </sheetViews>
  <sheetFormatPr baseColWidth="10" defaultRowHeight="16" x14ac:dyDescent="0.2"/>
  <cols>
    <col min="20" max="20" width="5.1640625" customWidth="1"/>
    <col min="21" max="21" width="3.33203125" customWidth="1"/>
    <col min="22" max="22" width="3.1640625" customWidth="1"/>
  </cols>
  <sheetData>
    <row r="2" spans="2:27" x14ac:dyDescent="0.2">
      <c r="B2" t="s">
        <v>134</v>
      </c>
      <c r="C2" t="s">
        <v>135</v>
      </c>
      <c r="D2" t="s">
        <v>137</v>
      </c>
      <c r="E2" t="s">
        <v>136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131</v>
      </c>
      <c r="Q2" t="s">
        <v>131</v>
      </c>
      <c r="R2" t="s">
        <v>148</v>
      </c>
      <c r="S2" t="s">
        <v>21</v>
      </c>
      <c r="T2" t="s">
        <v>149</v>
      </c>
      <c r="U2" t="s">
        <v>22</v>
      </c>
      <c r="V2" t="s">
        <v>150</v>
      </c>
      <c r="W2" t="s">
        <v>24</v>
      </c>
      <c r="X2" t="s">
        <v>25</v>
      </c>
      <c r="Y2" t="s">
        <v>27</v>
      </c>
      <c r="Z2" t="s">
        <v>151</v>
      </c>
      <c r="AA2" t="s">
        <v>152</v>
      </c>
    </row>
    <row r="4" spans="2:27" x14ac:dyDescent="0.2">
      <c r="Q4">
        <v>0.2</v>
      </c>
      <c r="R4">
        <v>81.076814769999999</v>
      </c>
      <c r="S4">
        <v>3490</v>
      </c>
      <c r="W4">
        <v>2182</v>
      </c>
      <c r="X4">
        <v>2699</v>
      </c>
      <c r="Y4">
        <v>517</v>
      </c>
      <c r="Z4">
        <f>((R4^0.5)/(120*3.1415*Q4))*LN(W4/Y4)</f>
        <v>0.17196843542526583</v>
      </c>
      <c r="AA4">
        <f>((R4^0.5)/(120*3.14*Q4))*LN((W4*(2*S4-W4))/(S4*Y4))</f>
        <v>0.21008183412255424</v>
      </c>
    </row>
    <row r="6" spans="2:27" x14ac:dyDescent="0.2">
      <c r="Y6" t="s">
        <v>241</v>
      </c>
      <c r="Z6" s="14">
        <v>1</v>
      </c>
      <c r="AA6" s="14">
        <v>2</v>
      </c>
    </row>
    <row r="8" spans="2:27" x14ac:dyDescent="0.2">
      <c r="B8" t="s">
        <v>0</v>
      </c>
      <c r="C8" t="s">
        <v>10</v>
      </c>
      <c r="D8" t="s">
        <v>1</v>
      </c>
      <c r="E8" t="s">
        <v>2</v>
      </c>
      <c r="F8" t="s">
        <v>132</v>
      </c>
      <c r="G8" t="s">
        <v>4</v>
      </c>
      <c r="H8" t="s">
        <v>240</v>
      </c>
      <c r="I8" t="s">
        <v>6</v>
      </c>
      <c r="J8" t="s">
        <v>7</v>
      </c>
      <c r="K8" t="s">
        <v>8</v>
      </c>
      <c r="L8" t="s">
        <v>71</v>
      </c>
      <c r="M8" t="s">
        <v>72</v>
      </c>
      <c r="N8" t="s">
        <v>73</v>
      </c>
      <c r="O8" t="s">
        <v>9</v>
      </c>
      <c r="P8" t="s">
        <v>77</v>
      </c>
      <c r="Q8" t="s">
        <v>20</v>
      </c>
      <c r="R8" t="s">
        <v>26</v>
      </c>
      <c r="S8" t="s">
        <v>21</v>
      </c>
      <c r="T8" t="s">
        <v>76</v>
      </c>
      <c r="U8" t="s">
        <v>22</v>
      </c>
      <c r="V8" t="s">
        <v>23</v>
      </c>
      <c r="W8" t="s">
        <v>24</v>
      </c>
      <c r="X8" t="s">
        <v>25</v>
      </c>
      <c r="Y8" t="s">
        <v>27</v>
      </c>
      <c r="Z8" t="s">
        <v>28</v>
      </c>
      <c r="AA8" t="s">
        <v>36</v>
      </c>
    </row>
    <row r="9" spans="2:27" x14ac:dyDescent="0.2">
      <c r="B9" t="s">
        <v>232</v>
      </c>
      <c r="C9" t="s">
        <v>70</v>
      </c>
      <c r="D9" s="1">
        <v>44998</v>
      </c>
      <c r="E9" s="2">
        <v>0.70197916666666671</v>
      </c>
      <c r="F9" t="s">
        <v>81</v>
      </c>
      <c r="G9">
        <v>2.4</v>
      </c>
      <c r="H9">
        <v>0.437</v>
      </c>
      <c r="I9">
        <v>6800</v>
      </c>
      <c r="J9">
        <v>8877</v>
      </c>
      <c r="K9">
        <v>2077</v>
      </c>
      <c r="L9">
        <v>20</v>
      </c>
      <c r="O9">
        <v>40</v>
      </c>
      <c r="P9" s="16">
        <v>0.437</v>
      </c>
      <c r="Q9" s="16">
        <v>0.2</v>
      </c>
      <c r="R9" s="16">
        <v>82.54104873</v>
      </c>
      <c r="S9" s="16">
        <v>3787</v>
      </c>
      <c r="T9" s="16"/>
      <c r="U9" s="16"/>
      <c r="V9" s="16"/>
      <c r="W9" s="16">
        <v>2135</v>
      </c>
      <c r="X9" s="16">
        <v>2359</v>
      </c>
      <c r="Y9" s="16">
        <v>224</v>
      </c>
      <c r="Z9">
        <f>((R9^0.5)/(120*3.1415*Q9))*LN($Z$6*W9/Y9)</f>
        <v>0.27167616671126371</v>
      </c>
      <c r="AA9">
        <f>((R9^0.5)/(120*3.14*Q9))*LN((W9*($AA$6*S9-W9))/(S9*Y9))</f>
        <v>0.31545029038834288</v>
      </c>
    </row>
    <row r="10" spans="2:27" x14ac:dyDescent="0.2">
      <c r="B10" t="s">
        <v>233</v>
      </c>
      <c r="C10" t="s">
        <v>70</v>
      </c>
      <c r="D10" s="1">
        <v>44998</v>
      </c>
      <c r="E10" s="2">
        <v>0.70263888888888892</v>
      </c>
      <c r="F10" t="s">
        <v>81</v>
      </c>
      <c r="G10">
        <v>2.4</v>
      </c>
      <c r="H10">
        <v>0.42399999999999999</v>
      </c>
      <c r="I10">
        <v>6800</v>
      </c>
      <c r="J10">
        <v>8878</v>
      </c>
      <c r="K10">
        <v>2078</v>
      </c>
      <c r="L10">
        <v>20</v>
      </c>
      <c r="O10">
        <v>40</v>
      </c>
      <c r="P10" s="16">
        <v>0.42399999999999999</v>
      </c>
      <c r="Q10" s="16">
        <v>0.2</v>
      </c>
      <c r="R10" s="16">
        <v>84.513744450000004</v>
      </c>
      <c r="S10" s="16">
        <v>3787</v>
      </c>
      <c r="T10" s="16"/>
      <c r="U10" s="16"/>
      <c r="V10" s="16"/>
      <c r="W10" s="16">
        <v>2139</v>
      </c>
      <c r="X10" s="16">
        <v>2363</v>
      </c>
      <c r="Y10" s="16">
        <v>224</v>
      </c>
      <c r="Z10">
        <f>((R10^0.5)/(120*3.1415*Q10))*LN($Z$6*W10/Y10)</f>
        <v>0.27513169887307498</v>
      </c>
      <c r="AA10">
        <f t="shared" ref="AA10:AA17" si="0">((R10^0.5)/(120*3.14*Q10))*LN((W10*($AA$6*S10-W10))/(S10*Y10))</f>
        <v>0.31933618663932678</v>
      </c>
    </row>
    <row r="11" spans="2:27" x14ac:dyDescent="0.2">
      <c r="B11" t="s">
        <v>190</v>
      </c>
      <c r="C11" t="s">
        <v>78</v>
      </c>
      <c r="D11" s="1">
        <v>44999</v>
      </c>
      <c r="E11" s="2">
        <v>0.61343749999999997</v>
      </c>
      <c r="F11" t="s">
        <v>81</v>
      </c>
      <c r="G11">
        <v>2.9</v>
      </c>
      <c r="H11">
        <v>0.1552</v>
      </c>
      <c r="I11">
        <v>4000</v>
      </c>
      <c r="J11">
        <v>6275</v>
      </c>
      <c r="K11">
        <v>2275</v>
      </c>
      <c r="L11">
        <v>20</v>
      </c>
      <c r="O11">
        <v>40</v>
      </c>
      <c r="P11">
        <v>0.1552</v>
      </c>
      <c r="Q11">
        <v>0.2</v>
      </c>
      <c r="R11">
        <v>81.076814769999999</v>
      </c>
      <c r="S11">
        <v>3490</v>
      </c>
      <c r="W11">
        <v>2182</v>
      </c>
      <c r="X11">
        <v>2699</v>
      </c>
      <c r="Y11">
        <v>517</v>
      </c>
      <c r="Z11">
        <f t="shared" ref="Z11:Z17" si="1">((R11^0.5)/(120*3.1415*Q11))*LN($Z$6*W11/Y11)</f>
        <v>0.17196843542526583</v>
      </c>
      <c r="AA11">
        <f t="shared" si="0"/>
        <v>0.21008183412255424</v>
      </c>
    </row>
    <row r="12" spans="2:27" x14ac:dyDescent="0.2">
      <c r="B12" t="s">
        <v>234</v>
      </c>
      <c r="F12" t="s">
        <v>81</v>
      </c>
      <c r="H12">
        <v>0.41399999999999998</v>
      </c>
      <c r="P12" s="16">
        <v>0.41399999999999998</v>
      </c>
      <c r="Q12" s="16">
        <v>0.2</v>
      </c>
      <c r="R12" s="16">
        <v>78.665544499999996</v>
      </c>
      <c r="S12" s="16">
        <v>3779</v>
      </c>
      <c r="T12" s="16"/>
      <c r="U12" s="16"/>
      <c r="V12" s="16"/>
      <c r="W12" s="16">
        <v>2150</v>
      </c>
      <c r="X12" s="16">
        <v>2371</v>
      </c>
      <c r="Y12" s="16">
        <v>221</v>
      </c>
      <c r="Z12">
        <f>((R12^0.5)/(120*3.1415*Q12))*LN($Z$6*W12/Y12)</f>
        <v>0.26763130122292</v>
      </c>
      <c r="AA12">
        <f t="shared" si="0"/>
        <v>0.30994273874844347</v>
      </c>
    </row>
    <row r="13" spans="2:27" x14ac:dyDescent="0.2">
      <c r="B13" t="s">
        <v>189</v>
      </c>
      <c r="F13" t="s">
        <v>81</v>
      </c>
      <c r="H13">
        <v>7.9600000000000004E-2</v>
      </c>
      <c r="P13">
        <v>7.9600000000000004E-2</v>
      </c>
      <c r="Q13">
        <v>0.2</v>
      </c>
      <c r="R13">
        <v>81.671772720000007</v>
      </c>
      <c r="S13">
        <v>3167</v>
      </c>
      <c r="W13">
        <v>2099</v>
      </c>
      <c r="X13">
        <v>3039</v>
      </c>
      <c r="Y13">
        <v>940</v>
      </c>
      <c r="Z13">
        <f t="shared" si="1"/>
        <v>9.6290879878178054E-2</v>
      </c>
      <c r="AA13">
        <f t="shared" si="0"/>
        <v>0.13118573744938206</v>
      </c>
    </row>
    <row r="14" spans="2:27" x14ac:dyDescent="0.2">
      <c r="B14" t="s">
        <v>187</v>
      </c>
      <c r="F14" t="s">
        <v>81</v>
      </c>
      <c r="H14">
        <v>7.0000000000000001E-3</v>
      </c>
      <c r="P14" s="14">
        <v>7.0000000000000001E-3</v>
      </c>
      <c r="Q14" s="14">
        <v>0.2</v>
      </c>
      <c r="R14" s="14">
        <v>26.00459133</v>
      </c>
      <c r="S14" s="14">
        <v>1947</v>
      </c>
      <c r="T14" s="14"/>
      <c r="U14" s="14"/>
      <c r="V14" s="14"/>
      <c r="W14" s="14">
        <v>1791</v>
      </c>
      <c r="X14" s="14">
        <v>4034</v>
      </c>
      <c r="Y14" s="14">
        <v>2243</v>
      </c>
      <c r="Z14">
        <f t="shared" si="1"/>
        <v>-1.522077217838437E-2</v>
      </c>
      <c r="AA14">
        <f t="shared" si="0"/>
        <v>-1.0012511181218941E-2</v>
      </c>
    </row>
    <row r="15" spans="2:27" x14ac:dyDescent="0.2">
      <c r="B15" t="s">
        <v>188</v>
      </c>
      <c r="F15" t="s">
        <v>81</v>
      </c>
      <c r="H15">
        <v>5.11E-2</v>
      </c>
      <c r="P15">
        <v>5.11E-2</v>
      </c>
      <c r="Q15">
        <v>0.2</v>
      </c>
      <c r="R15">
        <v>81.725967659999995</v>
      </c>
      <c r="S15">
        <v>2918</v>
      </c>
      <c r="W15">
        <v>1967</v>
      </c>
      <c r="X15">
        <v>3251</v>
      </c>
      <c r="Y15">
        <v>1284</v>
      </c>
      <c r="Z15">
        <f t="shared" si="1"/>
        <v>5.1142344656051691E-2</v>
      </c>
      <c r="AA15">
        <f t="shared" si="0"/>
        <v>8.5007416399232566E-2</v>
      </c>
    </row>
    <row r="16" spans="2:27" x14ac:dyDescent="0.2">
      <c r="B16" t="s">
        <v>185</v>
      </c>
      <c r="F16" t="s">
        <v>81</v>
      </c>
      <c r="H16">
        <v>0</v>
      </c>
      <c r="P16">
        <v>0</v>
      </c>
      <c r="Q16">
        <v>0.2</v>
      </c>
      <c r="R16">
        <v>2.4724777439999999</v>
      </c>
      <c r="S16">
        <v>1747</v>
      </c>
      <c r="W16">
        <v>2470</v>
      </c>
      <c r="X16">
        <v>4095</v>
      </c>
      <c r="Y16">
        <v>1625</v>
      </c>
      <c r="Z16">
        <f t="shared" si="1"/>
        <v>8.7323587664702232E-3</v>
      </c>
      <c r="AA16">
        <f t="shared" si="0"/>
        <v>-2.4093860573567425E-3</v>
      </c>
    </row>
    <row r="17" spans="2:27" x14ac:dyDescent="0.2">
      <c r="B17" t="s">
        <v>186</v>
      </c>
      <c r="F17" t="s">
        <v>81</v>
      </c>
      <c r="H17">
        <v>7.3499999999999998E-3</v>
      </c>
      <c r="P17" s="14">
        <v>7.3499999999999998E-3</v>
      </c>
      <c r="Q17" s="14">
        <v>0.2</v>
      </c>
      <c r="R17" s="14">
        <v>81.401067659999995</v>
      </c>
      <c r="S17" s="14">
        <v>2046</v>
      </c>
      <c r="T17" s="14"/>
      <c r="U17" s="14"/>
      <c r="V17" s="14"/>
      <c r="W17" s="14">
        <v>1306</v>
      </c>
      <c r="X17" s="14">
        <v>3598</v>
      </c>
      <c r="Y17" s="14">
        <v>2292</v>
      </c>
      <c r="Z17">
        <f t="shared" si="1"/>
        <v>-6.7306207434357654E-2</v>
      </c>
      <c r="AA17">
        <f t="shared" si="0"/>
        <v>-3.0377742550230014E-2</v>
      </c>
    </row>
    <row r="22" spans="2:27" x14ac:dyDescent="0.2">
      <c r="W22" t="s">
        <v>243</v>
      </c>
      <c r="X22" t="s">
        <v>132</v>
      </c>
      <c r="Y22" t="s">
        <v>44</v>
      </c>
      <c r="Z22" s="14">
        <f>RSQ(Z9:Z17,H9:H17)</f>
        <v>0.9087087961586735</v>
      </c>
      <c r="AA22" s="14">
        <f>RSQ(AA9:AA17,H9:H17)</f>
        <v>0.91169277628092804</v>
      </c>
    </row>
    <row r="23" spans="2:27" x14ac:dyDescent="0.2">
      <c r="W23">
        <f>Q12</f>
        <v>0.2</v>
      </c>
      <c r="X23" t="str">
        <f>F12</f>
        <v>BUR</v>
      </c>
      <c r="Z23" s="14"/>
      <c r="AA23" s="14"/>
    </row>
    <row r="24" spans="2:27" x14ac:dyDescent="0.2">
      <c r="Y24" t="s">
        <v>241</v>
      </c>
      <c r="Z24" s="14">
        <v>3.1</v>
      </c>
      <c r="AA24" s="14">
        <v>4</v>
      </c>
    </row>
    <row r="25" spans="2:27" x14ac:dyDescent="0.2">
      <c r="P25" t="s">
        <v>77</v>
      </c>
      <c r="Q25" t="s">
        <v>20</v>
      </c>
      <c r="R25" t="s">
        <v>26</v>
      </c>
      <c r="S25" t="s">
        <v>21</v>
      </c>
      <c r="T25" t="s">
        <v>76</v>
      </c>
      <c r="U25" t="s">
        <v>22</v>
      </c>
      <c r="V25" t="s">
        <v>23</v>
      </c>
      <c r="W25" t="s">
        <v>24</v>
      </c>
      <c r="X25" t="s">
        <v>25</v>
      </c>
      <c r="Y25" t="s">
        <v>27</v>
      </c>
      <c r="Z25" t="s">
        <v>28</v>
      </c>
      <c r="AA25" t="s">
        <v>36</v>
      </c>
    </row>
    <row r="26" spans="2:27" x14ac:dyDescent="0.2">
      <c r="B26" t="s">
        <v>200</v>
      </c>
      <c r="F26" t="s">
        <v>81</v>
      </c>
      <c r="H26">
        <v>0.437</v>
      </c>
      <c r="P26" s="16">
        <v>0.437</v>
      </c>
      <c r="Q26" s="16">
        <v>7.8E-2</v>
      </c>
      <c r="R26" s="16">
        <v>80.749755149999999</v>
      </c>
      <c r="S26" s="16">
        <v>3643</v>
      </c>
      <c r="T26" s="16"/>
      <c r="U26" s="16"/>
      <c r="V26" s="16"/>
      <c r="W26" s="16">
        <v>2298</v>
      </c>
      <c r="X26" s="16">
        <v>2527</v>
      </c>
      <c r="Y26" s="16">
        <v>229</v>
      </c>
      <c r="Z26">
        <f>((R26^0.5)/(120*3.1415*Q26))*LN($Z$24*W26/Y26)</f>
        <v>1.0505027359055474</v>
      </c>
      <c r="AA26">
        <f>((R26^0.5)/(120*3.14*Q26))*LN((W26*($AA$24*S26-W26))/(S26*Y26))</f>
        <v>1.076465384346126</v>
      </c>
    </row>
    <row r="27" spans="2:27" x14ac:dyDescent="0.2">
      <c r="B27" t="s">
        <v>199</v>
      </c>
      <c r="F27" t="s">
        <v>81</v>
      </c>
      <c r="H27">
        <v>0.42399999999999999</v>
      </c>
      <c r="P27" s="16">
        <v>0.42399999999999999</v>
      </c>
      <c r="Q27" s="16">
        <v>7.8E-2</v>
      </c>
      <c r="R27" s="16">
        <v>80.473687810000001</v>
      </c>
      <c r="S27" s="16">
        <v>3638</v>
      </c>
      <c r="T27" s="16"/>
      <c r="U27" s="16"/>
      <c r="V27" s="16"/>
      <c r="W27" s="16">
        <v>2294</v>
      </c>
      <c r="X27" s="16">
        <v>2535</v>
      </c>
      <c r="Y27" s="16">
        <v>241</v>
      </c>
      <c r="Z27">
        <f t="shared" ref="Z27:Z34" si="2">((R27^0.5)/(120*3.1415*Q27))*LN($Z$24*W27/Y27)</f>
        <v>1.0325920193860307</v>
      </c>
      <c r="AA27">
        <f t="shared" ref="AA27:AA34" si="3">((R27^0.5)/(120*3.14*Q27))*LN((W27*($AA$24*S27-W27))/(S27*Y27))</f>
        <v>1.0585236181565059</v>
      </c>
    </row>
    <row r="28" spans="2:27" x14ac:dyDescent="0.2">
      <c r="B28" t="s">
        <v>198</v>
      </c>
      <c r="F28" t="s">
        <v>81</v>
      </c>
      <c r="H28">
        <v>0.41399999999999998</v>
      </c>
      <c r="P28" s="16">
        <v>0.41399999999999998</v>
      </c>
      <c r="Q28" s="16">
        <v>7.8E-2</v>
      </c>
      <c r="R28" s="16">
        <v>80.887966090000006</v>
      </c>
      <c r="S28" s="16">
        <v>3630</v>
      </c>
      <c r="T28" s="16"/>
      <c r="U28" s="16"/>
      <c r="V28" s="16"/>
      <c r="W28" s="16">
        <v>2294</v>
      </c>
      <c r="X28" s="16">
        <v>2547</v>
      </c>
      <c r="Y28" s="16">
        <v>253</v>
      </c>
      <c r="Z28">
        <f t="shared" si="2"/>
        <v>1.0203837609962356</v>
      </c>
      <c r="AA28">
        <f t="shared" si="3"/>
        <v>1.0462486859506548</v>
      </c>
    </row>
    <row r="29" spans="2:27" x14ac:dyDescent="0.2">
      <c r="B29" t="s">
        <v>197</v>
      </c>
      <c r="F29" t="s">
        <v>81</v>
      </c>
      <c r="H29">
        <v>0.1552</v>
      </c>
      <c r="P29">
        <v>0.1552</v>
      </c>
      <c r="Q29">
        <v>7.8E-2</v>
      </c>
      <c r="R29">
        <v>60.396879820000002</v>
      </c>
      <c r="S29">
        <v>3214</v>
      </c>
      <c r="W29">
        <v>2087</v>
      </c>
      <c r="X29">
        <v>3003</v>
      </c>
      <c r="Y29">
        <v>916</v>
      </c>
      <c r="Z29">
        <f t="shared" si="2"/>
        <v>0.51666842507058619</v>
      </c>
      <c r="AA29">
        <f t="shared" si="3"/>
        <v>0.53747511042180751</v>
      </c>
    </row>
    <row r="30" spans="2:27" x14ac:dyDescent="0.2">
      <c r="B30" t="s">
        <v>195</v>
      </c>
      <c r="F30" t="s">
        <v>81</v>
      </c>
      <c r="H30">
        <v>5.11E-2</v>
      </c>
      <c r="P30">
        <v>5.11E-2</v>
      </c>
      <c r="Q30">
        <v>7.8E-2</v>
      </c>
      <c r="R30">
        <v>60.217793540000002</v>
      </c>
      <c r="S30">
        <v>2574</v>
      </c>
      <c r="W30">
        <v>1567</v>
      </c>
      <c r="X30">
        <v>3539</v>
      </c>
      <c r="Y30">
        <v>1972</v>
      </c>
      <c r="Z30">
        <f t="shared" si="2"/>
        <v>0.23791583023594468</v>
      </c>
      <c r="AA30">
        <f t="shared" si="3"/>
        <v>0.26173630208469723</v>
      </c>
    </row>
    <row r="31" spans="2:27" x14ac:dyDescent="0.2">
      <c r="B31" t="s">
        <v>196</v>
      </c>
      <c r="F31" t="s">
        <v>81</v>
      </c>
      <c r="H31">
        <v>7.9600000000000004E-2</v>
      </c>
      <c r="P31">
        <v>7.9600000000000004E-2</v>
      </c>
      <c r="Q31">
        <v>7.8E-2</v>
      </c>
      <c r="R31">
        <v>61.476981459999998</v>
      </c>
      <c r="S31">
        <v>2822</v>
      </c>
      <c r="W31">
        <v>1786</v>
      </c>
      <c r="X31">
        <v>3354</v>
      </c>
      <c r="Y31">
        <v>1568</v>
      </c>
      <c r="Z31">
        <f t="shared" si="2"/>
        <v>0.33640158814291998</v>
      </c>
      <c r="AA31">
        <f t="shared" si="3"/>
        <v>0.35861268699004656</v>
      </c>
    </row>
    <row r="32" spans="2:27" x14ac:dyDescent="0.2">
      <c r="B32" t="s">
        <v>193</v>
      </c>
      <c r="F32" t="s">
        <v>81</v>
      </c>
      <c r="H32">
        <v>7.3499999999999998E-3</v>
      </c>
      <c r="P32" s="14">
        <v>7.3499999999999998E-3</v>
      </c>
      <c r="Q32" s="14">
        <v>7.8E-2</v>
      </c>
      <c r="R32" s="14">
        <v>78.282166970000006</v>
      </c>
      <c r="S32" s="14">
        <v>1898</v>
      </c>
      <c r="T32" s="14"/>
      <c r="U32" s="14"/>
      <c r="V32" s="14"/>
      <c r="W32" s="14">
        <v>959</v>
      </c>
      <c r="X32" s="14">
        <v>3895</v>
      </c>
      <c r="Y32" s="14">
        <v>2936</v>
      </c>
      <c r="Z32">
        <f t="shared" si="2"/>
        <v>3.7581479556279516E-3</v>
      </c>
      <c r="AA32">
        <f t="shared" si="3"/>
        <v>3.9841048145324486E-2</v>
      </c>
    </row>
    <row r="33" spans="2:27" x14ac:dyDescent="0.2">
      <c r="B33" t="s">
        <v>194</v>
      </c>
      <c r="F33" t="s">
        <v>81</v>
      </c>
      <c r="H33">
        <v>7.0000000000000001E-3</v>
      </c>
      <c r="P33" s="14">
        <v>7.0000000000000001E-3</v>
      </c>
      <c r="Q33" s="14">
        <v>7.8E-2</v>
      </c>
      <c r="R33" s="14">
        <v>26.446269990000001</v>
      </c>
      <c r="S33" s="14">
        <v>1838</v>
      </c>
      <c r="T33" s="14"/>
      <c r="U33" s="14"/>
      <c r="V33" s="14"/>
      <c r="W33" s="14">
        <v>1403</v>
      </c>
      <c r="X33" s="14">
        <v>3999</v>
      </c>
      <c r="Y33" s="14">
        <v>2596</v>
      </c>
      <c r="Z33">
        <f t="shared" si="2"/>
        <v>9.0251678560805099E-2</v>
      </c>
      <c r="AA33">
        <f t="shared" si="3"/>
        <v>9.7843751754113736E-2</v>
      </c>
    </row>
    <row r="34" spans="2:27" x14ac:dyDescent="0.2">
      <c r="B34" t="s">
        <v>191</v>
      </c>
      <c r="F34" t="s">
        <v>81</v>
      </c>
      <c r="H34">
        <v>0</v>
      </c>
      <c r="P34">
        <v>0</v>
      </c>
      <c r="Q34">
        <v>7.8E-2</v>
      </c>
      <c r="R34">
        <v>1.158159205</v>
      </c>
      <c r="S34">
        <v>1722</v>
      </c>
      <c r="W34">
        <v>1831</v>
      </c>
      <c r="X34">
        <v>4051</v>
      </c>
      <c r="Y34">
        <v>2220</v>
      </c>
      <c r="Z34">
        <f t="shared" si="2"/>
        <v>3.4357732268462275E-2</v>
      </c>
      <c r="AA34">
        <f t="shared" si="3"/>
        <v>3.23926315714788E-2</v>
      </c>
    </row>
    <row r="37" spans="2:27" x14ac:dyDescent="0.2">
      <c r="W37" t="s">
        <v>243</v>
      </c>
      <c r="X37" t="s">
        <v>132</v>
      </c>
      <c r="Y37" s="14" t="s">
        <v>44</v>
      </c>
      <c r="Z37" s="14">
        <f>RSQ(Z26:Z34,H26:H34)</f>
        <v>0.98366882650301246</v>
      </c>
      <c r="AA37" s="14">
        <f>RSQ(AA26:AA34,H26:H34)</f>
        <v>0.9838207306559511</v>
      </c>
    </row>
    <row r="38" spans="2:27" x14ac:dyDescent="0.2">
      <c r="W38">
        <f>Q27</f>
        <v>7.8E-2</v>
      </c>
      <c r="X38" t="str">
        <f>F27</f>
        <v>BUR</v>
      </c>
    </row>
    <row r="40" spans="2:27" x14ac:dyDescent="0.2">
      <c r="Y40" s="14" t="s">
        <v>241</v>
      </c>
      <c r="Z40" s="14">
        <v>2.1</v>
      </c>
      <c r="AA40" s="14">
        <v>2.5</v>
      </c>
    </row>
    <row r="42" spans="2:27" x14ac:dyDescent="0.2">
      <c r="B42" t="s">
        <v>0</v>
      </c>
      <c r="C42" t="s">
        <v>10</v>
      </c>
      <c r="D42" t="s">
        <v>1</v>
      </c>
      <c r="E42" t="s">
        <v>2</v>
      </c>
      <c r="F42" t="s">
        <v>132</v>
      </c>
      <c r="G42" t="s">
        <v>4</v>
      </c>
      <c r="H42" t="s">
        <v>240</v>
      </c>
      <c r="I42" t="s">
        <v>6</v>
      </c>
      <c r="J42" t="s">
        <v>7</v>
      </c>
      <c r="K42" t="s">
        <v>8</v>
      </c>
      <c r="L42" t="s">
        <v>71</v>
      </c>
      <c r="M42" t="s">
        <v>72</v>
      </c>
      <c r="N42" t="s">
        <v>73</v>
      </c>
      <c r="O42" t="s">
        <v>9</v>
      </c>
      <c r="P42" t="s">
        <v>77</v>
      </c>
      <c r="Q42" t="s">
        <v>20</v>
      </c>
      <c r="R42" t="s">
        <v>26</v>
      </c>
      <c r="S42" t="s">
        <v>21</v>
      </c>
      <c r="T42" t="s">
        <v>76</v>
      </c>
      <c r="U42" t="s">
        <v>22</v>
      </c>
      <c r="V42" t="s">
        <v>23</v>
      </c>
      <c r="W42" t="s">
        <v>24</v>
      </c>
      <c r="X42" t="s">
        <v>25</v>
      </c>
      <c r="Y42" t="s">
        <v>27</v>
      </c>
      <c r="Z42" t="s">
        <v>28</v>
      </c>
      <c r="AA42" t="s">
        <v>36</v>
      </c>
    </row>
    <row r="43" spans="2:27" x14ac:dyDescent="0.2">
      <c r="B43" t="s">
        <v>181</v>
      </c>
      <c r="F43" t="s">
        <v>120</v>
      </c>
      <c r="H43">
        <v>0.42399999999999999</v>
      </c>
      <c r="P43" s="16">
        <v>0.42399999999999999</v>
      </c>
      <c r="Q43" s="16">
        <v>0.2</v>
      </c>
      <c r="R43" s="16">
        <v>54.256493020000001</v>
      </c>
      <c r="S43" s="16">
        <v>1711</v>
      </c>
      <c r="T43" s="16"/>
      <c r="U43" s="16"/>
      <c r="V43" s="16"/>
      <c r="W43" s="16">
        <v>498</v>
      </c>
      <c r="X43" s="16">
        <v>2274</v>
      </c>
      <c r="Y43" s="16">
        <v>1776</v>
      </c>
      <c r="Z43">
        <f>((R43^0.5)/(120*3.1415*Q43))*LN($Z$40*W43/Y43)</f>
        <v>-5.1738086252924392E-2</v>
      </c>
      <c r="AA43">
        <f>((R43^0.5)/(120*3.14*Q43))*LN((W43*($AA$40*S43-W43))/(S43*Y43))</f>
        <v>-4.6819322102183883E-2</v>
      </c>
    </row>
    <row r="44" spans="2:27" x14ac:dyDescent="0.2">
      <c r="B44" t="s">
        <v>183</v>
      </c>
      <c r="F44" t="s">
        <v>120</v>
      </c>
      <c r="H44">
        <v>0.437</v>
      </c>
      <c r="P44" s="16">
        <v>0.437</v>
      </c>
      <c r="Q44" s="16">
        <v>0.2</v>
      </c>
      <c r="R44" s="16">
        <v>52.460843089999997</v>
      </c>
      <c r="S44" s="16">
        <v>1707</v>
      </c>
      <c r="T44" s="16"/>
      <c r="U44" s="16"/>
      <c r="V44" s="16"/>
      <c r="W44" s="16">
        <v>475</v>
      </c>
      <c r="X44" s="16">
        <v>2270</v>
      </c>
      <c r="Y44" s="16">
        <v>1795</v>
      </c>
      <c r="Z44">
        <f t="shared" ref="Z44:Z51" si="4">((R44^0.5)/(120*3.1415*Q44))*LN($Z$40*W44/Y44)</f>
        <v>-5.6439508660814333E-2</v>
      </c>
      <c r="AA44">
        <f t="shared" ref="AA44:AA51" si="5">((R44^0.5)/(120*3.14*Q44))*LN((W44*($AA$40*S44-W44))/(S44*Y44))</f>
        <v>-5.105050801050965E-2</v>
      </c>
    </row>
    <row r="45" spans="2:27" x14ac:dyDescent="0.2">
      <c r="B45" t="s">
        <v>180</v>
      </c>
      <c r="F45" t="s">
        <v>120</v>
      </c>
      <c r="H45">
        <v>0.41399999999999998</v>
      </c>
      <c r="P45" s="16">
        <v>0.41399999999999998</v>
      </c>
      <c r="Q45" s="16">
        <v>0.2</v>
      </c>
      <c r="R45" s="16">
        <v>52.005841539999999</v>
      </c>
      <c r="S45" s="16">
        <v>1707</v>
      </c>
      <c r="T45" s="16"/>
      <c r="U45" s="16"/>
      <c r="V45" s="16"/>
      <c r="W45" s="16">
        <v>483</v>
      </c>
      <c r="X45" s="16">
        <v>2275</v>
      </c>
      <c r="Y45" s="16">
        <v>1792</v>
      </c>
      <c r="Z45">
        <f t="shared" si="4"/>
        <v>-5.4436723885109659E-2</v>
      </c>
      <c r="AA45">
        <f t="shared" si="5"/>
        <v>-4.9272377285669626E-2</v>
      </c>
    </row>
    <row r="46" spans="2:27" x14ac:dyDescent="0.2">
      <c r="B46" t="s">
        <v>179</v>
      </c>
      <c r="F46" t="s">
        <v>120</v>
      </c>
      <c r="H46">
        <v>0.1552</v>
      </c>
      <c r="P46">
        <v>0.1552</v>
      </c>
      <c r="Q46">
        <v>0.2</v>
      </c>
      <c r="R46">
        <v>51.660503849999998</v>
      </c>
      <c r="S46">
        <v>1722</v>
      </c>
      <c r="W46">
        <v>663</v>
      </c>
      <c r="X46">
        <v>2335</v>
      </c>
      <c r="Y46">
        <v>1672</v>
      </c>
      <c r="Z46">
        <f t="shared" si="4"/>
        <v>-1.7451496581301195E-2</v>
      </c>
      <c r="AA46">
        <f t="shared" si="5"/>
        <v>-1.6781784363206341E-2</v>
      </c>
    </row>
    <row r="47" spans="2:27" x14ac:dyDescent="0.2">
      <c r="B47" t="s">
        <v>178</v>
      </c>
      <c r="F47" t="s">
        <v>120</v>
      </c>
      <c r="H47">
        <v>7.9600000000000004E-2</v>
      </c>
      <c r="P47">
        <v>7.9600000000000004E-2</v>
      </c>
      <c r="Q47">
        <v>0.2</v>
      </c>
      <c r="R47">
        <v>52.917826390000002</v>
      </c>
      <c r="S47">
        <v>1722</v>
      </c>
      <c r="W47">
        <v>819</v>
      </c>
      <c r="X47">
        <v>2491</v>
      </c>
      <c r="Y47">
        <v>1672</v>
      </c>
      <c r="Z47">
        <f t="shared" si="4"/>
        <v>2.725235480970793E-3</v>
      </c>
      <c r="AA47">
        <f t="shared" si="5"/>
        <v>-8.1308436057009987E-4</v>
      </c>
    </row>
    <row r="48" spans="2:27" x14ac:dyDescent="0.2">
      <c r="B48" t="s">
        <v>176</v>
      </c>
      <c r="F48" t="s">
        <v>120</v>
      </c>
      <c r="H48">
        <v>5.11E-2</v>
      </c>
      <c r="P48">
        <v>5.11E-2</v>
      </c>
      <c r="Q48">
        <v>0.2</v>
      </c>
      <c r="R48">
        <v>53.354891029999997</v>
      </c>
      <c r="S48">
        <v>1723</v>
      </c>
      <c r="W48">
        <v>935</v>
      </c>
      <c r="X48">
        <v>2655</v>
      </c>
      <c r="Y48">
        <v>1720</v>
      </c>
      <c r="Z48">
        <f t="shared" si="4"/>
        <v>1.2827467301836943E-2</v>
      </c>
      <c r="AA48">
        <f t="shared" si="5"/>
        <v>6.014758395489872E-3</v>
      </c>
    </row>
    <row r="49" spans="2:27" x14ac:dyDescent="0.2">
      <c r="B49" t="s">
        <v>174</v>
      </c>
      <c r="F49" t="s">
        <v>120</v>
      </c>
      <c r="H49">
        <v>7.0000000000000001E-3</v>
      </c>
      <c r="P49" s="14">
        <v>7.0000000000000001E-3</v>
      </c>
      <c r="Q49" s="14">
        <v>0.2</v>
      </c>
      <c r="R49" s="14">
        <v>24.29097977</v>
      </c>
      <c r="S49" s="14">
        <v>1775</v>
      </c>
      <c r="T49" s="14"/>
      <c r="U49" s="14"/>
      <c r="V49" s="14"/>
      <c r="W49" s="14">
        <v>1426</v>
      </c>
      <c r="X49" s="14">
        <v>3791</v>
      </c>
      <c r="Y49" s="14">
        <v>2365</v>
      </c>
      <c r="Z49">
        <f t="shared" si="4"/>
        <v>1.5429302124302933E-2</v>
      </c>
      <c r="AA49">
        <f t="shared" si="5"/>
        <v>1.4867626347377443E-3</v>
      </c>
    </row>
    <row r="50" spans="2:27" x14ac:dyDescent="0.2">
      <c r="B50" t="s">
        <v>173</v>
      </c>
      <c r="F50" t="s">
        <v>120</v>
      </c>
      <c r="H50">
        <v>7.3499999999999998E-3</v>
      </c>
      <c r="P50" s="14">
        <v>7.3499999999999998E-3</v>
      </c>
      <c r="Q50" s="14">
        <v>0.2</v>
      </c>
      <c r="R50" s="14">
        <v>53.925762349999999</v>
      </c>
      <c r="S50" s="14">
        <v>1778</v>
      </c>
      <c r="T50" s="14"/>
      <c r="U50" s="14"/>
      <c r="V50" s="14"/>
      <c r="W50" s="14">
        <v>1066</v>
      </c>
      <c r="X50" s="14">
        <v>3367</v>
      </c>
      <c r="Y50" s="14">
        <v>2301</v>
      </c>
      <c r="Z50">
        <f t="shared" si="4"/>
        <v>-2.6777756849446937E-3</v>
      </c>
      <c r="AA50">
        <f t="shared" si="5"/>
        <v>-1.2408562439408721E-2</v>
      </c>
    </row>
    <row r="51" spans="2:27" x14ac:dyDescent="0.2">
      <c r="B51" t="s">
        <v>172</v>
      </c>
      <c r="F51" t="s">
        <v>120</v>
      </c>
      <c r="H51">
        <v>0</v>
      </c>
      <c r="P51">
        <v>0</v>
      </c>
      <c r="Q51">
        <v>0.2</v>
      </c>
      <c r="R51">
        <v>2.4771939610000002</v>
      </c>
      <c r="S51">
        <v>1718</v>
      </c>
      <c r="W51">
        <v>2274</v>
      </c>
      <c r="X51">
        <v>4095</v>
      </c>
      <c r="Y51">
        <v>1821</v>
      </c>
      <c r="Z51">
        <f t="shared" si="4"/>
        <v>2.0125660964211107E-2</v>
      </c>
      <c r="AA51">
        <f t="shared" si="5"/>
        <v>8.0321687423087068E-3</v>
      </c>
    </row>
    <row r="53" spans="2:27" x14ac:dyDescent="0.2">
      <c r="W53" t="s">
        <v>243</v>
      </c>
      <c r="X53" t="s">
        <v>132</v>
      </c>
      <c r="Y53" s="14" t="s">
        <v>44</v>
      </c>
      <c r="Z53" s="14">
        <f>RSQ(Z43:Z51,H43:H51)</f>
        <v>0.95199503315099632</v>
      </c>
      <c r="AA53" s="14">
        <f>RSQ(AA43:AA51,H43:H51)</f>
        <v>0.92531710769830877</v>
      </c>
    </row>
    <row r="54" spans="2:27" x14ac:dyDescent="0.2">
      <c r="W54">
        <f>Q43</f>
        <v>0.2</v>
      </c>
      <c r="X54" t="str">
        <f>F43</f>
        <v>BCT</v>
      </c>
    </row>
    <row r="57" spans="2:27" x14ac:dyDescent="0.2">
      <c r="Y57" s="14" t="s">
        <v>242</v>
      </c>
      <c r="Z57" s="14">
        <v>4</v>
      </c>
      <c r="AA57" s="14">
        <v>4.63</v>
      </c>
    </row>
    <row r="58" spans="2:27" x14ac:dyDescent="0.2">
      <c r="P58" t="s">
        <v>77</v>
      </c>
      <c r="Q58" t="s">
        <v>20</v>
      </c>
      <c r="R58" t="s">
        <v>26</v>
      </c>
      <c r="S58" t="s">
        <v>21</v>
      </c>
      <c r="T58" t="s">
        <v>76</v>
      </c>
      <c r="U58" t="s">
        <v>22</v>
      </c>
      <c r="V58" t="s">
        <v>23</v>
      </c>
      <c r="W58" t="s">
        <v>24</v>
      </c>
      <c r="X58" t="s">
        <v>25</v>
      </c>
      <c r="Y58" t="s">
        <v>27</v>
      </c>
      <c r="Z58" t="s">
        <v>28</v>
      </c>
      <c r="AA58" t="s">
        <v>36</v>
      </c>
    </row>
    <row r="59" spans="2:27" x14ac:dyDescent="0.2">
      <c r="B59" t="s">
        <v>170</v>
      </c>
      <c r="F59" t="s">
        <v>120</v>
      </c>
      <c r="H59">
        <v>0.437</v>
      </c>
      <c r="P59" s="16">
        <v>0.437</v>
      </c>
      <c r="Q59" s="16">
        <v>0.08</v>
      </c>
      <c r="R59" s="16">
        <v>45.297485700000003</v>
      </c>
      <c r="S59" s="16">
        <v>1703</v>
      </c>
      <c r="T59" s="16"/>
      <c r="U59" s="16"/>
      <c r="V59" s="16"/>
      <c r="W59" s="16">
        <v>615</v>
      </c>
      <c r="X59" s="16">
        <v>3283</v>
      </c>
      <c r="Y59" s="16">
        <v>2668</v>
      </c>
      <c r="Z59">
        <f>((R59^0.5)/(120*3.1415*Q59))*LN($Z$57*W59/Y59)</f>
        <v>-1.8113918480446092E-2</v>
      </c>
      <c r="AA59">
        <f>((R59^0.5)/(120*3.14*Q59))*LN((W59*($AA$57*S59-W59))/(S59*Y59))</f>
        <v>-3.597459117233547E-3</v>
      </c>
    </row>
    <row r="60" spans="2:27" x14ac:dyDescent="0.2">
      <c r="B60" t="s">
        <v>168</v>
      </c>
      <c r="F60" t="s">
        <v>120</v>
      </c>
      <c r="H60">
        <v>0.42399999999999999</v>
      </c>
      <c r="P60" s="16">
        <v>0.42399999999999999</v>
      </c>
      <c r="Q60" s="16">
        <v>0.08</v>
      </c>
      <c r="R60" s="16">
        <v>45.398427140000003</v>
      </c>
      <c r="S60" s="16">
        <v>1703</v>
      </c>
      <c r="T60" s="16"/>
      <c r="U60" s="16"/>
      <c r="V60" s="16"/>
      <c r="W60" s="16">
        <v>619</v>
      </c>
      <c r="X60" s="16">
        <v>3282</v>
      </c>
      <c r="Y60" s="16">
        <v>2663</v>
      </c>
      <c r="Z60">
        <f t="shared" ref="Z60:Z67" si="6">((R60^0.5)/(120*3.1415*Q60))*LN($Z$57*W60/Y60)</f>
        <v>-1.6266603702698355E-2</v>
      </c>
      <c r="AA60">
        <f t="shared" ref="AA60:AA67" si="7">((R60^0.5)/(120*3.14*Q60))*LN((W60*($AA$57*S60-W60))/(S60*Y60))</f>
        <v>-1.8561056191040547E-3</v>
      </c>
    </row>
    <row r="61" spans="2:27" x14ac:dyDescent="0.2">
      <c r="B61" t="s">
        <v>166</v>
      </c>
      <c r="F61" t="s">
        <v>120</v>
      </c>
      <c r="H61">
        <v>0.41399999999999998</v>
      </c>
      <c r="P61" s="16">
        <v>0.41399999999999998</v>
      </c>
      <c r="Q61" s="16">
        <v>0.08</v>
      </c>
      <c r="R61" s="16">
        <v>45.854053880000002</v>
      </c>
      <c r="S61" s="16">
        <v>1703</v>
      </c>
      <c r="T61" s="16"/>
      <c r="U61" s="16"/>
      <c r="V61" s="16"/>
      <c r="W61" s="16">
        <v>622</v>
      </c>
      <c r="X61" s="16">
        <v>3282</v>
      </c>
      <c r="Y61" s="16">
        <v>2660</v>
      </c>
      <c r="Z61">
        <f t="shared" si="6"/>
        <v>-1.5009359316263014E-2</v>
      </c>
      <c r="AA61">
        <f t="shared" si="7"/>
        <v>-6.1885964739654287E-4</v>
      </c>
    </row>
    <row r="62" spans="2:27" x14ac:dyDescent="0.2">
      <c r="B62" t="s">
        <v>164</v>
      </c>
      <c r="F62" t="s">
        <v>120</v>
      </c>
      <c r="H62">
        <v>0.1552</v>
      </c>
      <c r="P62">
        <v>0.1552</v>
      </c>
      <c r="Q62">
        <v>0.08</v>
      </c>
      <c r="R62">
        <v>45.752606890000003</v>
      </c>
      <c r="S62">
        <v>1699</v>
      </c>
      <c r="W62">
        <v>706</v>
      </c>
      <c r="X62">
        <v>3210</v>
      </c>
      <c r="Y62">
        <v>2504</v>
      </c>
      <c r="Z62">
        <f t="shared" si="6"/>
        <v>2.6973568031418847E-2</v>
      </c>
      <c r="AA62">
        <f t="shared" si="7"/>
        <v>3.8705866997716429E-2</v>
      </c>
    </row>
    <row r="63" spans="2:27" x14ac:dyDescent="0.2">
      <c r="B63" t="s">
        <v>162</v>
      </c>
      <c r="F63" t="s">
        <v>120</v>
      </c>
      <c r="H63">
        <v>7.9600000000000004E-2</v>
      </c>
      <c r="P63">
        <v>7.9600000000000004E-2</v>
      </c>
      <c r="Q63">
        <v>0.08</v>
      </c>
      <c r="R63">
        <v>44.493998570000002</v>
      </c>
      <c r="S63">
        <v>1699</v>
      </c>
      <c r="W63">
        <v>758</v>
      </c>
      <c r="X63">
        <v>3283</v>
      </c>
      <c r="Y63">
        <v>2525</v>
      </c>
      <c r="Z63">
        <f t="shared" si="6"/>
        <v>4.0471507291280961E-2</v>
      </c>
      <c r="AA63">
        <f t="shared" si="7"/>
        <v>5.0435065160903347E-2</v>
      </c>
    </row>
    <row r="64" spans="2:27" x14ac:dyDescent="0.2">
      <c r="B64" t="s">
        <v>160</v>
      </c>
      <c r="F64" t="s">
        <v>120</v>
      </c>
      <c r="H64">
        <v>5.11E-2</v>
      </c>
      <c r="P64">
        <v>5.11E-2</v>
      </c>
      <c r="Q64">
        <v>0.08</v>
      </c>
      <c r="R64">
        <v>46.926030079999997</v>
      </c>
      <c r="S64">
        <v>1706</v>
      </c>
      <c r="W64">
        <v>771</v>
      </c>
      <c r="X64">
        <v>3387</v>
      </c>
      <c r="Y64">
        <v>2616</v>
      </c>
      <c r="Z64">
        <f t="shared" si="6"/>
        <v>3.7383362785605376E-2</v>
      </c>
      <c r="AA64">
        <f t="shared" si="7"/>
        <v>4.7298919699770278E-2</v>
      </c>
    </row>
    <row r="65" spans="2:27" x14ac:dyDescent="0.2">
      <c r="B65" t="s">
        <v>158</v>
      </c>
      <c r="F65" t="s">
        <v>120</v>
      </c>
      <c r="H65">
        <v>7.0000000000000001E-3</v>
      </c>
      <c r="P65" s="14">
        <v>7.0000000000000001E-3</v>
      </c>
      <c r="Q65" s="14">
        <v>0.08</v>
      </c>
      <c r="R65" s="14">
        <v>19.986756400000001</v>
      </c>
      <c r="S65" s="14">
        <v>1718</v>
      </c>
      <c r="T65" s="14"/>
      <c r="U65" s="14"/>
      <c r="V65" s="14"/>
      <c r="W65" s="14">
        <v>1142</v>
      </c>
      <c r="X65" s="14">
        <v>3862</v>
      </c>
      <c r="Y65" s="14">
        <v>2720</v>
      </c>
      <c r="Z65">
        <f t="shared" si="6"/>
        <v>7.6853627934819549E-2</v>
      </c>
      <c r="AA65">
        <f t="shared" si="7"/>
        <v>7.5597151209872329E-2</v>
      </c>
    </row>
    <row r="66" spans="2:27" x14ac:dyDescent="0.2">
      <c r="B66" t="s">
        <v>156</v>
      </c>
      <c r="F66" t="s">
        <v>120</v>
      </c>
      <c r="H66">
        <v>7.3499999999999998E-3</v>
      </c>
      <c r="P66" s="14">
        <v>7.3499999999999998E-3</v>
      </c>
      <c r="Q66" s="14">
        <v>0.08</v>
      </c>
      <c r="R66" s="14">
        <v>46.108162870000001</v>
      </c>
      <c r="S66" s="14">
        <v>1694</v>
      </c>
      <c r="T66" s="14"/>
      <c r="U66" s="14"/>
      <c r="V66" s="14"/>
      <c r="W66" s="14">
        <v>803</v>
      </c>
      <c r="X66" s="14">
        <v>3811</v>
      </c>
      <c r="Y66" s="14">
        <v>3008</v>
      </c>
      <c r="Z66">
        <f t="shared" si="6"/>
        <v>1.4774275140046898E-2</v>
      </c>
      <c r="AA66">
        <f t="shared" si="7"/>
        <v>2.3398160919344085E-2</v>
      </c>
    </row>
    <row r="67" spans="2:27" x14ac:dyDescent="0.2">
      <c r="B67" t="s">
        <v>153</v>
      </c>
      <c r="F67" t="s">
        <v>120</v>
      </c>
      <c r="H67">
        <v>0</v>
      </c>
      <c r="P67">
        <v>0</v>
      </c>
      <c r="Q67">
        <v>0.08</v>
      </c>
      <c r="R67">
        <v>1.8914443169999999</v>
      </c>
      <c r="S67">
        <v>1702</v>
      </c>
      <c r="W67">
        <v>1775</v>
      </c>
      <c r="X67">
        <v>4031</v>
      </c>
      <c r="Y67">
        <v>2256</v>
      </c>
      <c r="Z67">
        <f t="shared" si="6"/>
        <v>5.2283312060813041E-2</v>
      </c>
      <c r="AA67">
        <f t="shared" si="7"/>
        <v>4.7337629379632928E-2</v>
      </c>
    </row>
    <row r="69" spans="2:27" x14ac:dyDescent="0.2">
      <c r="W69" t="s">
        <v>243</v>
      </c>
      <c r="X69" t="s">
        <v>132</v>
      </c>
      <c r="Y69" s="14" t="s">
        <v>44</v>
      </c>
      <c r="Z69" s="14">
        <f>RSQ(Z59:Z67,H59:H67)</f>
        <v>0.78120145407151254</v>
      </c>
      <c r="AA69" s="14">
        <f>RSQ(AA59:AA67,H59:H67)</f>
        <v>0.76229541991314353</v>
      </c>
    </row>
    <row r="70" spans="2:27" x14ac:dyDescent="0.2">
      <c r="W70">
        <f>Q59</f>
        <v>0.08</v>
      </c>
      <c r="X70" t="str">
        <f>F59</f>
        <v>BCT</v>
      </c>
    </row>
    <row r="71" spans="2:27" x14ac:dyDescent="0.2">
      <c r="Y71" s="14" t="s">
        <v>241</v>
      </c>
      <c r="Z71" s="14">
        <v>2</v>
      </c>
      <c r="AA71" s="14">
        <v>2.5</v>
      </c>
    </row>
    <row r="72" spans="2:27" x14ac:dyDescent="0.2">
      <c r="P72" t="s">
        <v>77</v>
      </c>
      <c r="Q72" t="s">
        <v>20</v>
      </c>
      <c r="R72" t="s">
        <v>26</v>
      </c>
      <c r="S72" t="s">
        <v>21</v>
      </c>
      <c r="T72" t="s">
        <v>76</v>
      </c>
      <c r="U72" t="s">
        <v>22</v>
      </c>
      <c r="V72" t="s">
        <v>23</v>
      </c>
      <c r="W72" t="s">
        <v>24</v>
      </c>
      <c r="X72" t="s">
        <v>25</v>
      </c>
      <c r="Y72" t="s">
        <v>27</v>
      </c>
      <c r="Z72" t="s">
        <v>28</v>
      </c>
      <c r="AA72" t="s">
        <v>36</v>
      </c>
    </row>
    <row r="73" spans="2:27" x14ac:dyDescent="0.2">
      <c r="B73" t="s">
        <v>213</v>
      </c>
      <c r="F73" t="s">
        <v>203</v>
      </c>
      <c r="H73">
        <v>0.437</v>
      </c>
      <c r="P73" s="15">
        <v>0.437</v>
      </c>
      <c r="Q73" s="15">
        <v>0.4</v>
      </c>
      <c r="R73" s="15">
        <v>42.506963769999999</v>
      </c>
      <c r="S73" s="15">
        <v>3131</v>
      </c>
      <c r="T73" s="15"/>
      <c r="U73" s="15"/>
      <c r="V73" s="15"/>
      <c r="W73" s="15">
        <v>2815</v>
      </c>
      <c r="X73" s="15">
        <v>3187</v>
      </c>
      <c r="Y73" s="15">
        <v>372</v>
      </c>
      <c r="Z73">
        <f>((R73^0.5)/(120*3.1415*Q73))*LN($Z$71*W73/Y73)</f>
        <v>0.11747263831006288</v>
      </c>
      <c r="AA73">
        <f>((R73^0.5)/(120*3.14*Q73))*LN((W73*($AA$71*S73-W73))/(S73*Y73))</f>
        <v>0.10790120775571629</v>
      </c>
    </row>
    <row r="74" spans="2:27" x14ac:dyDescent="0.2">
      <c r="B74" t="s">
        <v>211</v>
      </c>
      <c r="F74" t="s">
        <v>203</v>
      </c>
      <c r="H74">
        <v>0.41399999999999998</v>
      </c>
      <c r="P74" s="15">
        <v>0.41399999999999998</v>
      </c>
      <c r="Q74" s="15">
        <v>0.4</v>
      </c>
      <c r="R74" s="15">
        <v>42.438581419999998</v>
      </c>
      <c r="S74" s="15">
        <v>3102</v>
      </c>
      <c r="T74" s="15"/>
      <c r="U74" s="15"/>
      <c r="V74" s="15"/>
      <c r="W74" s="15">
        <v>2791</v>
      </c>
      <c r="X74" s="15">
        <v>3207</v>
      </c>
      <c r="Y74" s="15">
        <v>416</v>
      </c>
      <c r="Z74">
        <f t="shared" ref="Z74:Z81" si="8">((R74^0.5)/(120*3.1415*Q74))*LN($Z$71*W74/Y74)</f>
        <v>0.11217860876862235</v>
      </c>
      <c r="AA74">
        <f t="shared" ref="AA74:AA81" si="9">((R74^0.5)/(120*3.14*Q74))*LN((W74*($AA$71*S74-W74))/(S74*Y74))</f>
        <v>0.10259434897146039</v>
      </c>
    </row>
    <row r="75" spans="2:27" x14ac:dyDescent="0.2">
      <c r="B75" t="s">
        <v>212</v>
      </c>
      <c r="F75" t="s">
        <v>203</v>
      </c>
      <c r="H75">
        <v>0.42399999999999999</v>
      </c>
      <c r="P75" s="15">
        <v>0.42399999999999999</v>
      </c>
      <c r="Q75" s="15">
        <v>0.4</v>
      </c>
      <c r="R75" s="15">
        <v>43.381195859999998</v>
      </c>
      <c r="S75" s="15">
        <v>3115</v>
      </c>
      <c r="T75" s="15"/>
      <c r="U75" s="15"/>
      <c r="V75" s="15"/>
      <c r="W75" s="15">
        <v>2802</v>
      </c>
      <c r="X75" s="15">
        <v>3183</v>
      </c>
      <c r="Y75" s="15">
        <v>381</v>
      </c>
      <c r="Z75">
        <f t="shared" si="8"/>
        <v>0.11742815751220391</v>
      </c>
      <c r="AA75">
        <f t="shared" si="9"/>
        <v>0.10774606571835296</v>
      </c>
    </row>
    <row r="76" spans="2:27" x14ac:dyDescent="0.2">
      <c r="B76" t="s">
        <v>209</v>
      </c>
      <c r="F76" t="s">
        <v>203</v>
      </c>
      <c r="H76">
        <v>0.1552</v>
      </c>
      <c r="P76">
        <v>0.1552</v>
      </c>
      <c r="Q76">
        <v>0.4</v>
      </c>
      <c r="R76">
        <v>39.493675830000001</v>
      </c>
      <c r="S76">
        <v>2590</v>
      </c>
      <c r="W76">
        <v>2342</v>
      </c>
      <c r="X76">
        <v>3471</v>
      </c>
      <c r="Y76">
        <v>1129</v>
      </c>
      <c r="Z76">
        <f t="shared" si="8"/>
        <v>5.9297377610602595E-2</v>
      </c>
      <c r="AA76">
        <f t="shared" si="9"/>
        <v>4.9910716713020921E-2</v>
      </c>
    </row>
    <row r="77" spans="2:27" x14ac:dyDescent="0.2">
      <c r="B77" t="s">
        <v>207</v>
      </c>
      <c r="F77" t="s">
        <v>203</v>
      </c>
      <c r="H77">
        <v>7.9600000000000004E-2</v>
      </c>
      <c r="P77">
        <v>7.9600000000000004E-2</v>
      </c>
      <c r="Q77">
        <v>0.4</v>
      </c>
      <c r="R77">
        <v>39.305498960000001</v>
      </c>
      <c r="S77">
        <v>2267</v>
      </c>
      <c r="W77">
        <v>2086</v>
      </c>
      <c r="X77">
        <v>3490</v>
      </c>
      <c r="Y77">
        <v>1404</v>
      </c>
      <c r="Z77">
        <f t="shared" si="8"/>
        <v>4.5279773185078635E-2</v>
      </c>
      <c r="AA77">
        <f t="shared" si="9"/>
        <v>3.5492021681320263E-2</v>
      </c>
    </row>
    <row r="78" spans="2:27" x14ac:dyDescent="0.2">
      <c r="B78" t="s">
        <v>206</v>
      </c>
      <c r="F78" t="s">
        <v>203</v>
      </c>
      <c r="H78">
        <v>5.11E-2</v>
      </c>
      <c r="P78">
        <v>5.11E-2</v>
      </c>
      <c r="Q78">
        <v>0.4</v>
      </c>
      <c r="R78">
        <v>39.408940629999996</v>
      </c>
      <c r="S78">
        <v>2095</v>
      </c>
      <c r="W78">
        <v>1966</v>
      </c>
      <c r="X78">
        <v>3510</v>
      </c>
      <c r="Y78">
        <v>1544</v>
      </c>
      <c r="Z78">
        <f t="shared" si="8"/>
        <v>3.8915683098200586E-2</v>
      </c>
      <c r="AA78">
        <f t="shared" si="9"/>
        <v>2.862761916497587E-2</v>
      </c>
    </row>
    <row r="79" spans="2:27" x14ac:dyDescent="0.2">
      <c r="B79" t="s">
        <v>205</v>
      </c>
      <c r="F79" t="s">
        <v>203</v>
      </c>
      <c r="H79">
        <v>7.0000000000000001E-3</v>
      </c>
      <c r="P79" s="14">
        <v>7.0000000000000001E-3</v>
      </c>
      <c r="Q79" s="14">
        <v>0.4</v>
      </c>
      <c r="R79" s="14">
        <v>18.78571839</v>
      </c>
      <c r="S79" s="14">
        <v>1734</v>
      </c>
      <c r="T79" s="14"/>
      <c r="U79" s="14"/>
      <c r="V79" s="14"/>
      <c r="W79" s="14">
        <v>2154</v>
      </c>
      <c r="X79" s="14">
        <v>3846</v>
      </c>
      <c r="Y79" s="14">
        <v>1692</v>
      </c>
      <c r="Z79">
        <f t="shared" si="8"/>
        <v>2.6862346833288798E-2</v>
      </c>
      <c r="AA79">
        <f t="shared" si="9"/>
        <v>1.3537855833960893E-2</v>
      </c>
    </row>
    <row r="80" spans="2:27" x14ac:dyDescent="0.2">
      <c r="B80" t="s">
        <v>204</v>
      </c>
      <c r="F80" t="s">
        <v>203</v>
      </c>
      <c r="H80">
        <v>7.3499999999999998E-3</v>
      </c>
      <c r="P80" s="14">
        <v>7.3499999999999998E-3</v>
      </c>
      <c r="Q80" s="14">
        <v>0.4</v>
      </c>
      <c r="R80" s="14">
        <v>39.361904840000001</v>
      </c>
      <c r="S80" s="14">
        <v>1754</v>
      </c>
      <c r="T80" s="14"/>
      <c r="U80" s="14"/>
      <c r="V80" s="14"/>
      <c r="W80" s="14">
        <v>1767</v>
      </c>
      <c r="X80" s="14">
        <v>3783</v>
      </c>
      <c r="Y80" s="14">
        <v>2016</v>
      </c>
      <c r="Z80">
        <f t="shared" si="8"/>
        <v>2.3354276541411766E-2</v>
      </c>
      <c r="AA80">
        <f t="shared" si="9"/>
        <v>1.1184121800207026E-2</v>
      </c>
    </row>
    <row r="81" spans="2:27" x14ac:dyDescent="0.2">
      <c r="B81" t="s">
        <v>201</v>
      </c>
      <c r="F81" t="s">
        <v>203</v>
      </c>
      <c r="H81">
        <v>0</v>
      </c>
      <c r="P81">
        <v>0</v>
      </c>
      <c r="Q81">
        <v>0.4</v>
      </c>
      <c r="R81">
        <v>2.5917313210000001</v>
      </c>
      <c r="S81">
        <v>1682</v>
      </c>
      <c r="W81">
        <v>2854</v>
      </c>
      <c r="X81">
        <v>4095</v>
      </c>
      <c r="Y81">
        <v>1241</v>
      </c>
      <c r="Z81">
        <f t="shared" si="8"/>
        <v>1.6291359614233881E-2</v>
      </c>
      <c r="AA81">
        <f t="shared" si="9"/>
        <v>6.5547452654899111E-3</v>
      </c>
    </row>
    <row r="83" spans="2:27" x14ac:dyDescent="0.2">
      <c r="W83" t="s">
        <v>243</v>
      </c>
      <c r="X83" t="s">
        <v>132</v>
      </c>
      <c r="Y83" s="14" t="s">
        <v>44</v>
      </c>
      <c r="Z83" s="14">
        <f>RSQ(Z73:Z81,P73:P81)</f>
        <v>0.99259215558411606</v>
      </c>
      <c r="AA83" s="14">
        <f>RSQ(AA73:AA81,P73:P81)</f>
        <v>0.99250339708582924</v>
      </c>
    </row>
    <row r="84" spans="2:27" x14ac:dyDescent="0.2">
      <c r="W84">
        <f>Q73</f>
        <v>0.4</v>
      </c>
      <c r="X84" t="str">
        <f>F73</f>
        <v>FCT</v>
      </c>
      <c r="Y84" s="14"/>
      <c r="Z84" s="14"/>
      <c r="AA84" s="14"/>
    </row>
    <row r="85" spans="2:27" x14ac:dyDescent="0.2">
      <c r="Y85" s="14" t="s">
        <v>241</v>
      </c>
      <c r="Z85" s="14">
        <v>0.75</v>
      </c>
      <c r="AA85" s="14">
        <v>2</v>
      </c>
    </row>
    <row r="86" spans="2:27" x14ac:dyDescent="0.2">
      <c r="P86" t="s">
        <v>77</v>
      </c>
      <c r="Q86" t="s">
        <v>20</v>
      </c>
      <c r="R86" t="s">
        <v>26</v>
      </c>
      <c r="S86" t="s">
        <v>21</v>
      </c>
      <c r="T86" t="s">
        <v>76</v>
      </c>
      <c r="U86" t="s">
        <v>22</v>
      </c>
      <c r="V86" t="s">
        <v>23</v>
      </c>
      <c r="W86" t="s">
        <v>24</v>
      </c>
      <c r="X86" t="s">
        <v>25</v>
      </c>
      <c r="Y86" t="s">
        <v>27</v>
      </c>
      <c r="Z86" t="s">
        <v>28</v>
      </c>
      <c r="AA86" t="s">
        <v>36</v>
      </c>
    </row>
    <row r="87" spans="2:27" x14ac:dyDescent="0.2">
      <c r="B87" t="s">
        <v>235</v>
      </c>
      <c r="F87" t="s">
        <v>69</v>
      </c>
      <c r="H87">
        <v>0.42399999999999999</v>
      </c>
      <c r="P87" s="15">
        <v>0.42399999999999999</v>
      </c>
      <c r="Q87">
        <v>0.4</v>
      </c>
      <c r="R87">
        <v>84.293405629999995</v>
      </c>
      <c r="S87" s="15">
        <v>3830</v>
      </c>
      <c r="W87" s="15">
        <v>2095</v>
      </c>
      <c r="X87" s="15">
        <v>2162</v>
      </c>
      <c r="Y87" s="15">
        <v>67</v>
      </c>
      <c r="Z87">
        <f>((R87^0.5)/(120*3.1415*Q87))*LN($Z$85*W87/Y87)</f>
        <v>0.19209178694665124</v>
      </c>
      <c r="AA87">
        <f>((R87^0.5)/(120*3.14*Q87))*LN((W87*($AA$85*S87-W87))/(S87*Y87))</f>
        <v>0.23246766288280818</v>
      </c>
    </row>
    <row r="88" spans="2:27" x14ac:dyDescent="0.2">
      <c r="B88" t="s">
        <v>220</v>
      </c>
      <c r="F88" t="s">
        <v>69</v>
      </c>
      <c r="H88">
        <v>5.11E-2</v>
      </c>
      <c r="P88">
        <v>5.11E-2</v>
      </c>
      <c r="Q88">
        <v>0.4</v>
      </c>
      <c r="R88">
        <v>79.746111670000005</v>
      </c>
      <c r="S88">
        <v>3171</v>
      </c>
      <c r="W88">
        <v>2214</v>
      </c>
      <c r="X88">
        <v>3055</v>
      </c>
      <c r="Y88">
        <v>841</v>
      </c>
      <c r="Z88">
        <f t="shared" ref="Z88:Z96" si="10">((R88^0.5)/(120*3.1415*Q88))*LN($Z$85*W88/Y88)</f>
        <v>4.0287069691562448E-2</v>
      </c>
      <c r="AA88">
        <f t="shared" ref="AA88:AA96" si="11">((R88^0.5)/(120*3.14*Q88))*LN((W88*($AA$85*S88-W88))/(S88*Y88))</f>
        <v>7.2978093162543334E-2</v>
      </c>
    </row>
    <row r="89" spans="2:27" x14ac:dyDescent="0.2">
      <c r="B89" t="s">
        <v>236</v>
      </c>
      <c r="F89" t="s">
        <v>69</v>
      </c>
      <c r="H89">
        <v>0.437</v>
      </c>
      <c r="P89" s="15">
        <v>0.437</v>
      </c>
      <c r="Q89">
        <v>0.4</v>
      </c>
      <c r="R89">
        <v>80.780151419999996</v>
      </c>
      <c r="S89" s="15">
        <v>3834</v>
      </c>
      <c r="W89" s="15">
        <v>2099</v>
      </c>
      <c r="X89" s="15">
        <v>2158</v>
      </c>
      <c r="Y89" s="15">
        <v>59</v>
      </c>
      <c r="Z89">
        <f t="shared" si="10"/>
        <v>0.19573872529481287</v>
      </c>
      <c r="AA89">
        <f t="shared" si="11"/>
        <v>0.23524851099969199</v>
      </c>
    </row>
    <row r="90" spans="2:27" x14ac:dyDescent="0.2">
      <c r="B90" t="s">
        <v>237</v>
      </c>
      <c r="F90" t="s">
        <v>69</v>
      </c>
      <c r="H90">
        <v>0.1552</v>
      </c>
      <c r="P90">
        <v>0.1552</v>
      </c>
      <c r="Q90">
        <v>0.4</v>
      </c>
      <c r="R90">
        <v>79.545450540000004</v>
      </c>
      <c r="S90">
        <v>3627</v>
      </c>
      <c r="W90">
        <v>2206</v>
      </c>
      <c r="X90">
        <v>2411</v>
      </c>
      <c r="Y90">
        <v>205</v>
      </c>
      <c r="Z90">
        <f t="shared" si="10"/>
        <v>0.12351242387990957</v>
      </c>
      <c r="AA90">
        <f t="shared" si="11"/>
        <v>0.16015733089646098</v>
      </c>
    </row>
    <row r="91" spans="2:27" x14ac:dyDescent="0.2">
      <c r="B91" t="s">
        <v>238</v>
      </c>
      <c r="F91" t="s">
        <v>69</v>
      </c>
      <c r="H91">
        <v>0.41399999999999998</v>
      </c>
      <c r="P91" s="15">
        <v>0.41399999999999998</v>
      </c>
      <c r="Q91">
        <v>0.4</v>
      </c>
      <c r="R91">
        <v>80.995852659999997</v>
      </c>
      <c r="S91" s="15">
        <v>3831</v>
      </c>
      <c r="W91" s="15">
        <v>2102</v>
      </c>
      <c r="X91" s="15">
        <v>2162</v>
      </c>
      <c r="Y91" s="15">
        <v>60</v>
      </c>
      <c r="Z91">
        <f t="shared" si="10"/>
        <v>0.19508202110348083</v>
      </c>
      <c r="AA91">
        <f t="shared" si="11"/>
        <v>0.2345942466465111</v>
      </c>
    </row>
    <row r="92" spans="2:27" x14ac:dyDescent="0.2">
      <c r="B92" t="s">
        <v>217</v>
      </c>
      <c r="F92" t="s">
        <v>69</v>
      </c>
      <c r="H92">
        <v>7.3499999999999998E-3</v>
      </c>
      <c r="P92" s="14">
        <v>7.3499999999999998E-3</v>
      </c>
      <c r="Q92">
        <v>0.4</v>
      </c>
      <c r="R92">
        <v>79.198236699999995</v>
      </c>
      <c r="S92" s="14">
        <v>2139</v>
      </c>
      <c r="W92" s="14">
        <v>1622</v>
      </c>
      <c r="X92" s="14">
        <v>3355</v>
      </c>
      <c r="Y92" s="14">
        <v>1733</v>
      </c>
      <c r="Z92">
        <f t="shared" si="10"/>
        <v>-2.0884819244901893E-2</v>
      </c>
      <c r="AA92">
        <f t="shared" si="11"/>
        <v>8.8738755319434093E-3</v>
      </c>
    </row>
    <row r="93" spans="2:27" x14ac:dyDescent="0.2">
      <c r="B93" t="s">
        <v>221</v>
      </c>
      <c r="F93" t="s">
        <v>69</v>
      </c>
      <c r="H93">
        <v>7.9600000000000004E-2</v>
      </c>
      <c r="P93">
        <v>7.9600000000000004E-2</v>
      </c>
      <c r="Q93">
        <v>0.4</v>
      </c>
      <c r="R93">
        <v>80.807098339999996</v>
      </c>
      <c r="S93">
        <v>3355</v>
      </c>
      <c r="W93">
        <v>2226</v>
      </c>
      <c r="X93">
        <v>2762</v>
      </c>
      <c r="Y93">
        <v>536</v>
      </c>
      <c r="Z93">
        <f t="shared" si="10"/>
        <v>6.7729883758929382E-2</v>
      </c>
      <c r="AA93">
        <f t="shared" si="11"/>
        <v>0.10222028691416589</v>
      </c>
    </row>
    <row r="94" spans="2:27" x14ac:dyDescent="0.2">
      <c r="B94" t="s">
        <v>218</v>
      </c>
      <c r="F94" t="s">
        <v>69</v>
      </c>
      <c r="H94">
        <v>7.0000000000000001E-3</v>
      </c>
      <c r="P94" s="14">
        <v>7.0000000000000001E-3</v>
      </c>
      <c r="Q94">
        <v>0.4</v>
      </c>
      <c r="R94">
        <v>23.289398569999999</v>
      </c>
      <c r="S94" s="14">
        <v>2026</v>
      </c>
      <c r="W94" s="14">
        <v>2078</v>
      </c>
      <c r="X94" s="14">
        <v>3795</v>
      </c>
      <c r="Y94" s="14">
        <v>1717</v>
      </c>
      <c r="Z94">
        <f t="shared" si="10"/>
        <v>-3.0997153370297247E-3</v>
      </c>
      <c r="AA94">
        <f t="shared" si="11"/>
        <v>5.2775646805202159E-3</v>
      </c>
    </row>
    <row r="95" spans="2:27" x14ac:dyDescent="0.2">
      <c r="B95" t="s">
        <v>239</v>
      </c>
      <c r="F95" t="s">
        <v>69</v>
      </c>
      <c r="H95">
        <v>7.0000000000000001E-3</v>
      </c>
      <c r="P95" s="14">
        <v>7.0000000000000001E-3</v>
      </c>
      <c r="Q95">
        <v>0.4</v>
      </c>
      <c r="R95">
        <v>23.98168441</v>
      </c>
      <c r="S95" s="14">
        <v>2027</v>
      </c>
      <c r="W95" s="14">
        <v>2103</v>
      </c>
      <c r="X95" s="14">
        <v>3790</v>
      </c>
      <c r="Y95" s="14">
        <v>1687</v>
      </c>
      <c r="Z95">
        <f t="shared" si="10"/>
        <v>-2.1846223795478877E-3</v>
      </c>
      <c r="AA95">
        <f t="shared" si="11"/>
        <v>5.9198846783962006E-3</v>
      </c>
    </row>
    <row r="96" spans="2:27" x14ac:dyDescent="0.2">
      <c r="B96" t="s">
        <v>214</v>
      </c>
      <c r="F96" t="s">
        <v>69</v>
      </c>
      <c r="H96">
        <v>0</v>
      </c>
      <c r="P96">
        <v>0</v>
      </c>
      <c r="Q96">
        <v>0.4</v>
      </c>
      <c r="R96">
        <v>2.4724777439999999</v>
      </c>
      <c r="S96">
        <v>1674</v>
      </c>
      <c r="W96">
        <v>2763</v>
      </c>
      <c r="X96">
        <v>4095</v>
      </c>
      <c r="Y96">
        <v>1332</v>
      </c>
      <c r="Z96">
        <f t="shared" si="10"/>
        <v>4.6085507539993459E-3</v>
      </c>
      <c r="AA96">
        <f t="shared" si="11"/>
        <v>-3.3564383545497387E-3</v>
      </c>
    </row>
    <row r="99" spans="23:27" x14ac:dyDescent="0.2">
      <c r="W99" t="s">
        <v>243</v>
      </c>
      <c r="X99" t="s">
        <v>132</v>
      </c>
    </row>
    <row r="100" spans="23:27" x14ac:dyDescent="0.2">
      <c r="W100">
        <f>Q88</f>
        <v>0.4</v>
      </c>
      <c r="X100" t="str">
        <f>F88</f>
        <v>FLD</v>
      </c>
      <c r="Y100" s="14" t="s">
        <v>44</v>
      </c>
      <c r="Z100" s="14">
        <f>RSQ(Z87:Z96,P87:P96)</f>
        <v>0.9408545218256511</v>
      </c>
      <c r="AA100" s="14">
        <f>RSQ(AA87:AA96,P87:P96)</f>
        <v>0.92167599351384177</v>
      </c>
    </row>
    <row r="116" spans="25:27" x14ac:dyDescent="0.2">
      <c r="Y116" s="14"/>
      <c r="Z116" s="14"/>
      <c r="AA116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052623</vt:lpstr>
      <vt:lpstr>052423</vt:lpstr>
      <vt:lpstr>041123</vt:lpstr>
      <vt:lpstr>First_Test</vt:lpstr>
      <vt:lpstr>Solutions</vt:lpstr>
      <vt:lpstr>040723</vt:lpstr>
      <vt:lpstr>040823</vt:lpstr>
      <vt:lpstr>Training1</vt:lpstr>
      <vt:lpstr>Dalton_Topp</vt:lpstr>
      <vt:lpstr>SiltloamRET</vt:lpstr>
      <vt:lpstr>trianing data_solutions</vt:lpstr>
      <vt:lpstr>Topp_Dalton2</vt:lpstr>
      <vt:lpstr>coated</vt:lpstr>
      <vt:lpstr>BCT_20)</vt:lpstr>
      <vt:lpstr>FCT_40</vt:lpstr>
      <vt:lpstr>FLD_40</vt:lpstr>
      <vt:lpstr>BCT_8B</vt:lpstr>
      <vt:lpstr>BCT_8</vt:lpstr>
      <vt:lpstr>BUR_20</vt:lpstr>
      <vt:lpstr>BUR_8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Keith Bellingham</cp:lastModifiedBy>
  <cp:lastPrinted>2023-05-26T17:59:54Z</cp:lastPrinted>
  <dcterms:created xsi:type="dcterms:W3CDTF">2023-01-31T22:05:45Z</dcterms:created>
  <dcterms:modified xsi:type="dcterms:W3CDTF">2023-06-13T17:44:27Z</dcterms:modified>
</cp:coreProperties>
</file>