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drawings/drawing17.xml" ContentType="application/vnd.openxmlformats-officedocument.drawing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drawings/drawing18.xml" ContentType="application/vnd.openxmlformats-officedocument.drawing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drawings/drawing19.xml" ContentType="application/vnd.openxmlformats-officedocument.drawing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drawings/drawing20.xml" ContentType="application/vnd.openxmlformats-officedocument.drawing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drawings/drawing21.xml" ContentType="application/vnd.openxmlformats-officedocument.drawing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drawings/drawing22.xml" ContentType="application/vnd.openxmlformats-officedocument.drawing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drawings/drawing23.xml" ContentType="application/vnd.openxmlformats-officedocument.drawing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drawings/drawing24.xml" ContentType="application/vnd.openxmlformats-officedocument.drawing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drawings/drawing25.xml" ContentType="application/vnd.openxmlformats-officedocument.drawing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drawings/drawing26.xml" ContentType="application/vnd.openxmlformats-officedocument.drawing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drawings/drawing27.xml" ContentType="application/vnd.openxmlformats-officedocument.drawing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drawings/drawing28.xml" ContentType="application/vnd.openxmlformats-officedocument.drawing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drawings/drawing29.xml" ContentType="application/vnd.openxmlformats-officedocument.drawing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drawings/drawing30.xml" ContentType="application/vnd.openxmlformats-officedocument.drawing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drawings/drawing31.xml" ContentType="application/vnd.openxmlformats-officedocument.drawing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drawings/drawing32.xml" ContentType="application/vnd.openxmlformats-officedocument.drawing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omments32.xml" ContentType="application/vnd.openxmlformats-officedocument.spreadsheetml.comments+xml"/>
  <Override PartName="/xl/threadedComments/threadedComment32.xml" ContentType="application/vnd.ms-excel.threadedcomments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omments33.xml" ContentType="application/vnd.openxmlformats-officedocument.spreadsheetml.comments+xml"/>
  <Override PartName="/xl/threadedComments/threadedComment33.xml" ContentType="application/vnd.ms-excel.threadedcomments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omments34.xml" ContentType="application/vnd.openxmlformats-officedocument.spreadsheetml.comments+xml"/>
  <Override PartName="/xl/threadedComments/threadedComment34.xml" ContentType="application/vnd.ms-excel.threadedcomments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pivotTables/pivotTable1.xml" ContentType="application/vnd.openxmlformats-officedocument.spreadsheetml.pivotTable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omments35.xml" ContentType="application/vnd.openxmlformats-officedocument.spreadsheetml.comments+xml"/>
  <Override PartName="/xl/threadedComments/threadedComment35.xml" ContentType="application/vnd.ms-excel.threadedcomments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comments36.xml" ContentType="application/vnd.openxmlformats-officedocument.spreadsheetml.comments+xml"/>
  <Override PartName="/xl/threadedComments/threadedComment3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mi365.sharepoint.com/sites/itsupport/Shared Documents/05.予算管理/2026年予算/"/>
    </mc:Choice>
  </mc:AlternateContent>
  <xr:revisionPtr revIDLastSave="13209" documentId="11_3D17ACB24EA1149D6A1AF63390BCE7D0B207F96C" xr6:coauthVersionLast="47" xr6:coauthVersionMax="47" xr10:uidLastSave="{9E2E5D18-8D13-4358-82A1-17ECE6480CE7}"/>
  <bookViews>
    <workbookView xWindow="-110" yWindow="-110" windowWidth="19420" windowHeight="11500" tabRatio="819" firstSheet="2" activeTab="10" xr2:uid="{00000000-000D-0000-FFFF-FFFF00000000}"/>
  </bookViews>
  <sheets>
    <sheet name="2026予算計画" sheetId="6" r:id="rId1"/>
    <sheet name="シートの構成" sheetId="32" r:id="rId2"/>
    <sheet name="MS関連費用" sheetId="77" r:id="rId3"/>
    <sheet name="【全社】【FBJ】プライバシーフィルター購入費用" sheetId="24" r:id="rId4"/>
    <sheet name="【全社】【FIS】SECUREDERIVER" sheetId="36" r:id="rId5"/>
    <sheet name="【全社】【IIJ】Office365（迷惑メール対策）" sheetId="34" r:id="rId6"/>
    <sheet name="【全社】【IIJ】OneTrustライセンス" sheetId="38" r:id="rId7"/>
    <sheet name="【全社】【横河】ﾀｲﾌﾟｶﾊﾞｰ他" sheetId="57" r:id="rId8"/>
    <sheet name="【全社】【Lenovo】ThinkPad X13 英語版" sheetId="65" r:id="rId9"/>
    <sheet name="【全社】Windows PCレンタル " sheetId="79" r:id="rId10"/>
    <sheet name="【全社】Windows PCレンタル 12-22再計算" sheetId="86" r:id="rId11"/>
    <sheet name="旧【全社】Windows10 PCレンタル" sheetId="64" r:id="rId12"/>
    <sheet name="旧【全社】Windows10 PCレンタル (2)" sheetId="75" r:id="rId13"/>
    <sheet name="【全社】【ソフトバンク】MSS月額" sheetId="43" r:id="rId14"/>
    <sheet name="【全社】【ソフトバンク】LAN設備保守" sheetId="44" r:id="rId15"/>
    <sheet name="【全社】【ソフトバンク】JIRA" sheetId="42" r:id="rId16"/>
    <sheet name="【全社】【ソフトバンク】無線LANクラウド管理" sheetId="45" r:id="rId17"/>
    <sheet name="★【全社】【FBJ】X-point年間保守・ライセンス更新" sheetId="35" r:id="rId18"/>
    <sheet name="【全社】【FBJ】認証サーバ管理年間保守料金" sheetId="74" r:id="rId19"/>
    <sheet name="【全社】【FBJ】ｻｰﾊﾞ保守19 7-24 6" sheetId="46" r:id="rId20"/>
    <sheet name="【全社】【FBJ】UPS保守更新料24 7-25 6" sheetId="47" r:id="rId21"/>
    <sheet name="【全社】【FBJ】SKYSEA保守23 4-24 3" sheetId="16" r:id="rId22"/>
    <sheet name="【全社】【FBJ】メール誤送信防止(WiseAlert)" sheetId="11" r:id="rId23"/>
    <sheet name="【全社】【FBJ】DeviceLogService" sheetId="48" r:id="rId24"/>
    <sheet name="【全社】【MS】ｴﾝﾀｰﾌﾟﾗｲｽｻｰﾋﾞｽ" sheetId="49" r:id="rId25"/>
    <sheet name="【全社】【リコー】TeaｍViewer" sheetId="14" r:id="rId26"/>
    <sheet name="【全社】【リコー】Acrobat" sheetId="15" r:id="rId27"/>
    <sheet name="【全社】【リコー】M365E5(FMI)" sheetId="5" r:id="rId28"/>
    <sheet name="【全社】【リコー】PowerAutomatePremium" sheetId="29" r:id="rId29"/>
    <sheet name="【全社】【リコー】Copilot for M365" sheetId="28" r:id="rId30"/>
    <sheet name="【全社】【リコー】CopilotStudio" sheetId="40" r:id="rId31"/>
    <sheet name="【全社】【リコー】VisioPlan1" sheetId="39" r:id="rId32"/>
    <sheet name="【全社】【リコー】MS Project" sheetId="4" r:id="rId33"/>
    <sheet name="【全社】【リコー】TeamsPremium" sheetId="78" r:id="rId34"/>
    <sheet name="【全社】【リコー】ｼﾏﾝﾃｯｸGHOST" sheetId="13" r:id="rId35"/>
    <sheet name="【全社】【Sansan】Sansan" sheetId="17" r:id="rId36"/>
    <sheet name="【全社】InterSafe(Webﾌｨﾙﾀﾘﾝｸﾞｿﾌﾄ)" sheetId="18" r:id="rId37"/>
    <sheet name="【全社】【双日テックイノベーション】Zoom" sheetId="19" r:id="rId38"/>
    <sheet name="【全社】【テガラ】Think-Cell" sheetId="20" r:id="rId39"/>
    <sheet name="【全社】【チームスピリット】TeamSpirit" sheetId="21" r:id="rId40"/>
    <sheet name="【全社】【クラウズ・スパイス】CloudsSpice" sheetId="22" r:id="rId41"/>
    <sheet name="【全社【SCSK】D365forSalesライセンス使用料" sheetId="23" r:id="rId42"/>
    <sheet name="【全社】【SCSK】Dynamic365保守料" sheetId="66" r:id="rId43"/>
    <sheet name="【全社】【ウチダエスコ】PC廃棄費用" sheetId="50" r:id="rId44"/>
    <sheet name="【全社】【ID】Azureサーバ監視サービス" sheetId="37" r:id="rId45"/>
    <sheet name="【全社】【RIT】ｱｻｲﾝ管理ﾂｰﾙﾗｲｾﾝｽ費用" sheetId="85" r:id="rId46"/>
    <sheet name="【全社】【ソフトバンク】SmartVPN(Azure)" sheetId="51" r:id="rId47"/>
    <sheet name="【全社】【ソフトバンク】SmartVPN(大阪)" sheetId="52" r:id="rId48"/>
    <sheet name="【全社】【ソフトバンク】SmartVPN(本社)" sheetId="53" r:id="rId49"/>
    <sheet name="【全社】【ソフトバンク】ConnecTalk接続料" sheetId="54" r:id="rId50"/>
    <sheet name="【全社】【ソフトバンク】SRA2利用料" sheetId="55" r:id="rId51"/>
    <sheet name="【全社】インターネット回線利用料（WCGWｾｷｭｱｱｸ" sheetId="56" r:id="rId52"/>
    <sheet name="【全社】【ソフトバンク】PKIプラットフォーム" sheetId="26" r:id="rId53"/>
    <sheet name="【全社】【ソフトバンク】iPhone" sheetId="58" r:id="rId54"/>
    <sheet name="【全社】【ソフトバンク】ﾃﾞｰﾀ通信ｶｰﾄﾞ(Wifi)" sheetId="10" r:id="rId55"/>
    <sheet name="【全社】【ソフトバンク】iPad" sheetId="9" r:id="rId56"/>
    <sheet name="【全社】【ソフトバンク】ConnecTalk月額利用料" sheetId="59" r:id="rId57"/>
    <sheet name="【ソフトバンク】Clipchamp Premium" sheetId="68" r:id="rId58"/>
    <sheet name="【全社【KDDI】Wifiﾙｰﾀｰ月額利用料（大西代表用）" sheetId="30" r:id="rId59"/>
    <sheet name="【全社】【MS】クラウドサーバ利用料（Azure関連）" sheetId="60" r:id="rId60"/>
    <sheet name="【全社】【GMO】FCIﾚﾝﾀﾙｻｰﾊﾞｰ利用" sheetId="61" r:id="rId61"/>
    <sheet name="【全社】【リコー】M365(FCI)" sheetId="71" r:id="rId62"/>
    <sheet name="【全社】【FBJ】M365 ﾗｲｾﾝｽ変更費(FCDP" sheetId="25" r:id="rId63"/>
    <sheet name="【全社】【TDB】㈱帝国ﾃﾞｰﾀﾊﾞﾝｸ　電子入札用電子証明書" sheetId="80" r:id="rId64"/>
    <sheet name="【全社】【TDB】Infiniti　XKeyPremium利用" sheetId="81" r:id="rId65"/>
    <sheet name="★2026年新規★【全社】Slack利用料金" sheetId="83" r:id="rId66"/>
    <sheet name="★2026年新規【全社】GoogleWorkspace利用料金" sheetId="82" r:id="rId67"/>
    <sheet name="★2026年新規★【全社】ChatGPTBusiness" sheetId="84" r:id="rId68"/>
    <sheet name="【全社】2025年度PCリプレース費用" sheetId="63" r:id="rId69"/>
    <sheet name="【BO】【FBJ】SQLｻｰﾊﾞﾗｲｾﾝｽ(奉行用)" sheetId="62" r:id="rId70"/>
    <sheet name="【BO】【Neusoft】Helpdesk・オンサイト" sheetId="12" r:id="rId71"/>
    <sheet name="【シャロン】D365SalseEnt" sheetId="31" r:id="rId72"/>
    <sheet name="新規追加 Azure VPN" sheetId="69" r:id="rId73"/>
    <sheet name="予算新規追加＞" sheetId="76" r:id="rId74"/>
    <sheet name="新規プロジェクトサマリ" sheetId="72" r:id="rId75"/>
    <sheet name="予算化不要＞" sheetId="70" r:id="rId76"/>
    <sheet name="【ジャストシステム】JUSTPDF" sheetId="67" r:id="rId77"/>
    <sheet name="予算化不要【JAPANAI】JapanAi" sheetId="41" r:id="rId78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"10/15/2024 00:20:16"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pivotCaches>
    <pivotCache cacheId="49" r:id="rId7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5" i="86" l="1"/>
  <c r="AE125" i="86"/>
  <c r="AD125" i="86"/>
  <c r="AC125" i="86"/>
  <c r="AB125" i="86"/>
  <c r="AA125" i="86"/>
  <c r="Z125" i="86"/>
  <c r="Y125" i="86"/>
  <c r="X125" i="86"/>
  <c r="W125" i="86"/>
  <c r="V125" i="86"/>
  <c r="U125" i="86"/>
  <c r="AG125" i="86" s="1"/>
  <c r="AF124" i="86"/>
  <c r="AE124" i="86"/>
  <c r="AD124" i="86"/>
  <c r="AC124" i="86"/>
  <c r="AB124" i="86"/>
  <c r="AA124" i="86"/>
  <c r="Z124" i="86"/>
  <c r="Y124" i="86"/>
  <c r="X124" i="86"/>
  <c r="W124" i="86"/>
  <c r="V124" i="86"/>
  <c r="U124" i="86"/>
  <c r="AG124" i="86" s="1"/>
  <c r="AF123" i="86"/>
  <c r="AE123" i="86"/>
  <c r="AD123" i="86"/>
  <c r="AC123" i="86"/>
  <c r="AB123" i="86"/>
  <c r="AA123" i="86"/>
  <c r="Z123" i="86"/>
  <c r="Y123" i="86"/>
  <c r="X123" i="86"/>
  <c r="W123" i="86"/>
  <c r="V123" i="86"/>
  <c r="U123" i="86"/>
  <c r="AG123" i="86" s="1"/>
  <c r="AF122" i="86"/>
  <c r="AE122" i="86"/>
  <c r="AD122" i="86"/>
  <c r="AC122" i="86"/>
  <c r="AB122" i="86"/>
  <c r="AA122" i="86"/>
  <c r="Z122" i="86"/>
  <c r="Y122" i="86"/>
  <c r="X122" i="86"/>
  <c r="W122" i="86"/>
  <c r="V122" i="86"/>
  <c r="U122" i="86"/>
  <c r="AG122" i="86" s="1"/>
  <c r="AF121" i="86"/>
  <c r="AE121" i="86"/>
  <c r="AD121" i="86"/>
  <c r="AC121" i="86"/>
  <c r="AB121" i="86"/>
  <c r="AA121" i="86"/>
  <c r="Z121" i="86"/>
  <c r="Y121" i="86"/>
  <c r="X121" i="86"/>
  <c r="W121" i="86"/>
  <c r="V121" i="86"/>
  <c r="U121" i="86"/>
  <c r="AG121" i="86" s="1"/>
  <c r="AG118" i="86"/>
  <c r="AG116" i="86"/>
  <c r="AG115" i="86"/>
  <c r="AG113" i="86"/>
  <c r="AG112" i="86"/>
  <c r="AG109" i="86"/>
  <c r="AG107" i="86"/>
  <c r="AF106" i="86"/>
  <c r="AE106" i="86"/>
  <c r="AD106" i="86"/>
  <c r="AC106" i="86"/>
  <c r="AB106" i="86"/>
  <c r="AA106" i="86"/>
  <c r="Z106" i="86"/>
  <c r="Y106" i="86"/>
  <c r="X106" i="86"/>
  <c r="W106" i="86"/>
  <c r="V106" i="86"/>
  <c r="U106" i="86"/>
  <c r="AG106" i="86" s="1"/>
  <c r="AG102" i="86"/>
  <c r="AG98" i="86"/>
  <c r="AF82" i="86"/>
  <c r="AF100" i="86" s="1"/>
  <c r="AE82" i="86"/>
  <c r="AE100" i="86" s="1"/>
  <c r="AD82" i="86"/>
  <c r="AD100" i="86" s="1"/>
  <c r="AC82" i="86"/>
  <c r="AC100" i="86" s="1"/>
  <c r="AB82" i="86"/>
  <c r="AB100" i="86" s="1"/>
  <c r="AA82" i="86"/>
  <c r="AA100" i="86" s="1"/>
  <c r="Z82" i="86"/>
  <c r="Z100" i="86" s="1"/>
  <c r="Y82" i="86"/>
  <c r="Y100" i="86" s="1"/>
  <c r="X82" i="86"/>
  <c r="X100" i="86" s="1"/>
  <c r="W82" i="86"/>
  <c r="W100" i="86" s="1"/>
  <c r="V82" i="86"/>
  <c r="V100" i="86" s="1"/>
  <c r="U82" i="86"/>
  <c r="U100" i="86" s="1"/>
  <c r="AF81" i="86"/>
  <c r="AF99" i="86" s="1"/>
  <c r="AE81" i="86"/>
  <c r="AE99" i="86" s="1"/>
  <c r="AD81" i="86"/>
  <c r="AD99" i="86" s="1"/>
  <c r="AC81" i="86"/>
  <c r="AC99" i="86" s="1"/>
  <c r="AB81" i="86"/>
  <c r="AB99" i="86" s="1"/>
  <c r="AA81" i="86"/>
  <c r="AA99" i="86" s="1"/>
  <c r="Z81" i="86"/>
  <c r="Z99" i="86" s="1"/>
  <c r="Y81" i="86"/>
  <c r="Y99" i="86" s="1"/>
  <c r="X81" i="86"/>
  <c r="X99" i="86" s="1"/>
  <c r="W81" i="86"/>
  <c r="W99" i="86" s="1"/>
  <c r="V81" i="86"/>
  <c r="V99" i="86" s="1"/>
  <c r="U81" i="86"/>
  <c r="U99" i="86" s="1"/>
  <c r="AG80" i="86"/>
  <c r="AF80" i="86"/>
  <c r="AF98" i="86" s="1"/>
  <c r="AE80" i="86"/>
  <c r="AE98" i="86" s="1"/>
  <c r="AD80" i="86"/>
  <c r="AD98" i="86" s="1"/>
  <c r="AC80" i="86"/>
  <c r="AC98" i="86" s="1"/>
  <c r="AB80" i="86"/>
  <c r="AB98" i="86" s="1"/>
  <c r="AA80" i="86"/>
  <c r="AA98" i="86" s="1"/>
  <c r="Z80" i="86"/>
  <c r="Z98" i="86" s="1"/>
  <c r="Y80" i="86"/>
  <c r="Y98" i="86" s="1"/>
  <c r="X80" i="86"/>
  <c r="X98" i="86" s="1"/>
  <c r="W80" i="86"/>
  <c r="W98" i="86" s="1"/>
  <c r="V80" i="86"/>
  <c r="V98" i="86" s="1"/>
  <c r="U80" i="86"/>
  <c r="U98" i="86" s="1"/>
  <c r="AG79" i="86"/>
  <c r="AF79" i="86"/>
  <c r="AF97" i="86" s="1"/>
  <c r="AE79" i="86"/>
  <c r="AE97" i="86" s="1"/>
  <c r="AD79" i="86"/>
  <c r="AD97" i="86" s="1"/>
  <c r="AC79" i="86"/>
  <c r="AC97" i="86" s="1"/>
  <c r="AB79" i="86"/>
  <c r="AB97" i="86" s="1"/>
  <c r="AA79" i="86"/>
  <c r="AA97" i="86" s="1"/>
  <c r="Z79" i="86"/>
  <c r="Z97" i="86" s="1"/>
  <c r="Y79" i="86"/>
  <c r="Y97" i="86" s="1"/>
  <c r="X79" i="86"/>
  <c r="X97" i="86" s="1"/>
  <c r="W79" i="86"/>
  <c r="W97" i="86" s="1"/>
  <c r="V79" i="86"/>
  <c r="V97" i="86" s="1"/>
  <c r="U79" i="86"/>
  <c r="U97" i="86" s="1"/>
  <c r="AG78" i="86"/>
  <c r="AF78" i="86"/>
  <c r="AF96" i="86" s="1"/>
  <c r="AE78" i="86"/>
  <c r="AE96" i="86" s="1"/>
  <c r="AD78" i="86"/>
  <c r="AD96" i="86" s="1"/>
  <c r="AC78" i="86"/>
  <c r="AC96" i="86" s="1"/>
  <c r="AB78" i="86"/>
  <c r="AB96" i="86" s="1"/>
  <c r="AA78" i="86"/>
  <c r="AA96" i="86" s="1"/>
  <c r="Z78" i="86"/>
  <c r="Z96" i="86" s="1"/>
  <c r="Y78" i="86"/>
  <c r="Y96" i="86" s="1"/>
  <c r="X78" i="86"/>
  <c r="X96" i="86" s="1"/>
  <c r="W78" i="86"/>
  <c r="W96" i="86" s="1"/>
  <c r="V78" i="86"/>
  <c r="V96" i="86" s="1"/>
  <c r="U78" i="86"/>
  <c r="U96" i="86" s="1"/>
  <c r="AF77" i="86"/>
  <c r="AE77" i="86"/>
  <c r="AD77" i="86"/>
  <c r="AC77" i="86"/>
  <c r="AB77" i="86"/>
  <c r="AA77" i="86"/>
  <c r="Z77" i="86"/>
  <c r="Y77" i="86"/>
  <c r="X77" i="86"/>
  <c r="W77" i="86"/>
  <c r="V77" i="86"/>
  <c r="U77" i="86"/>
  <c r="AF76" i="86"/>
  <c r="AE76" i="86"/>
  <c r="AD76" i="86"/>
  <c r="AC76" i="86"/>
  <c r="AB76" i="86"/>
  <c r="AA76" i="86"/>
  <c r="Z76" i="86"/>
  <c r="Y76" i="86"/>
  <c r="X76" i="86"/>
  <c r="W76" i="86"/>
  <c r="V76" i="86"/>
  <c r="U76" i="86"/>
  <c r="AF75" i="86"/>
  <c r="AE75" i="86"/>
  <c r="AD75" i="86"/>
  <c r="AC75" i="86"/>
  <c r="AB75" i="86"/>
  <c r="AA75" i="86"/>
  <c r="Z75" i="86"/>
  <c r="Y75" i="86"/>
  <c r="X75" i="86"/>
  <c r="W75" i="86"/>
  <c r="V75" i="86"/>
  <c r="U75" i="86"/>
  <c r="AF74" i="86"/>
  <c r="AE74" i="86"/>
  <c r="AD74" i="86"/>
  <c r="AC74" i="86"/>
  <c r="AB74" i="86"/>
  <c r="AA74" i="86"/>
  <c r="Z74" i="86"/>
  <c r="Y74" i="86"/>
  <c r="X74" i="86"/>
  <c r="W74" i="86"/>
  <c r="V74" i="86"/>
  <c r="U74" i="86"/>
  <c r="AF73" i="86"/>
  <c r="AE73" i="86"/>
  <c r="AD73" i="86"/>
  <c r="AC73" i="86"/>
  <c r="AB73" i="86"/>
  <c r="AA73" i="86"/>
  <c r="Z73" i="86"/>
  <c r="Y73" i="86"/>
  <c r="X73" i="86"/>
  <c r="W73" i="86"/>
  <c r="V73" i="86"/>
  <c r="U73" i="86"/>
  <c r="AF72" i="86"/>
  <c r="AE72" i="86"/>
  <c r="AD72" i="86"/>
  <c r="AC72" i="86"/>
  <c r="AB72" i="86"/>
  <c r="AA72" i="86"/>
  <c r="Z72" i="86"/>
  <c r="Y72" i="86"/>
  <c r="X72" i="86"/>
  <c r="W72" i="86"/>
  <c r="V72" i="86"/>
  <c r="U72" i="86"/>
  <c r="AF71" i="86"/>
  <c r="AE71" i="86"/>
  <c r="AD71" i="86"/>
  <c r="AC71" i="86"/>
  <c r="AB71" i="86"/>
  <c r="AA71" i="86"/>
  <c r="Z71" i="86"/>
  <c r="Y71" i="86"/>
  <c r="X71" i="86"/>
  <c r="W71" i="86"/>
  <c r="V71" i="86"/>
  <c r="U71" i="86"/>
  <c r="AF70" i="86"/>
  <c r="AE70" i="86"/>
  <c r="AD70" i="86"/>
  <c r="AC70" i="86"/>
  <c r="AB70" i="86"/>
  <c r="AA70" i="86"/>
  <c r="Z70" i="86"/>
  <c r="Y70" i="86"/>
  <c r="X70" i="86"/>
  <c r="W70" i="86"/>
  <c r="V70" i="86"/>
  <c r="U70" i="86"/>
  <c r="AF69" i="86"/>
  <c r="AE69" i="86"/>
  <c r="AD69" i="86"/>
  <c r="AC69" i="86"/>
  <c r="AB69" i="86"/>
  <c r="AA69" i="86"/>
  <c r="Z69" i="86"/>
  <c r="Y69" i="86"/>
  <c r="X69" i="86"/>
  <c r="W69" i="86"/>
  <c r="V69" i="86"/>
  <c r="U69" i="86"/>
  <c r="AG77" i="86" s="1"/>
  <c r="AF66" i="86"/>
  <c r="AE66" i="86"/>
  <c r="AD66" i="86"/>
  <c r="AC66" i="86"/>
  <c r="AB66" i="86"/>
  <c r="AA66" i="86"/>
  <c r="Z66" i="86"/>
  <c r="Y66" i="86"/>
  <c r="X66" i="86"/>
  <c r="W66" i="86"/>
  <c r="V66" i="86"/>
  <c r="U66" i="86"/>
  <c r="AF65" i="86"/>
  <c r="AE65" i="86"/>
  <c r="AD65" i="86"/>
  <c r="AC65" i="86"/>
  <c r="AB65" i="86"/>
  <c r="AA65" i="86"/>
  <c r="Z65" i="86"/>
  <c r="Y65" i="86"/>
  <c r="X65" i="86"/>
  <c r="W65" i="86"/>
  <c r="V65" i="86"/>
  <c r="U65" i="86"/>
  <c r="AF64" i="86"/>
  <c r="AE64" i="86"/>
  <c r="AD64" i="86"/>
  <c r="AC64" i="86"/>
  <c r="AB64" i="86"/>
  <c r="AA64" i="86"/>
  <c r="Z64" i="86"/>
  <c r="Y64" i="86"/>
  <c r="X64" i="86"/>
  <c r="W64" i="86"/>
  <c r="V64" i="86"/>
  <c r="U64" i="86"/>
  <c r="AF63" i="86"/>
  <c r="AE63" i="86"/>
  <c r="AD63" i="86"/>
  <c r="AC63" i="86"/>
  <c r="AB63" i="86"/>
  <c r="AA63" i="86"/>
  <c r="Z63" i="86"/>
  <c r="Y63" i="86"/>
  <c r="X63" i="86"/>
  <c r="W63" i="86"/>
  <c r="V63" i="86"/>
  <c r="U63" i="86"/>
  <c r="AF62" i="86"/>
  <c r="AE62" i="86"/>
  <c r="AD62" i="86"/>
  <c r="AC62" i="86"/>
  <c r="AB62" i="86"/>
  <c r="AA62" i="86"/>
  <c r="Z62" i="86"/>
  <c r="Y62" i="86"/>
  <c r="X62" i="86"/>
  <c r="W62" i="86"/>
  <c r="V62" i="86"/>
  <c r="U62" i="86"/>
  <c r="AF61" i="86"/>
  <c r="AE61" i="86"/>
  <c r="AD61" i="86"/>
  <c r="AC61" i="86"/>
  <c r="AB61" i="86"/>
  <c r="AA61" i="86"/>
  <c r="Z61" i="86"/>
  <c r="Y61" i="86"/>
  <c r="X61" i="86"/>
  <c r="W61" i="86"/>
  <c r="V61" i="86"/>
  <c r="U61" i="86"/>
  <c r="AF60" i="86"/>
  <c r="AE60" i="86"/>
  <c r="AD60" i="86"/>
  <c r="AC60" i="86"/>
  <c r="AB60" i="86"/>
  <c r="AA60" i="86"/>
  <c r="Z60" i="86"/>
  <c r="Y60" i="86"/>
  <c r="X60" i="86"/>
  <c r="W60" i="86"/>
  <c r="V60" i="86"/>
  <c r="U60" i="86"/>
  <c r="AF59" i="86"/>
  <c r="AE59" i="86"/>
  <c r="AD59" i="86"/>
  <c r="AC59" i="86"/>
  <c r="AB59" i="86"/>
  <c r="AA59" i="86"/>
  <c r="Z59" i="86"/>
  <c r="Y59" i="86"/>
  <c r="X59" i="86"/>
  <c r="W59" i="86"/>
  <c r="V59" i="86"/>
  <c r="U59" i="86"/>
  <c r="AF58" i="86"/>
  <c r="AE58" i="86"/>
  <c r="AD58" i="86"/>
  <c r="AC58" i="86"/>
  <c r="AB58" i="86"/>
  <c r="AA58" i="86"/>
  <c r="Z58" i="86"/>
  <c r="Y58" i="86"/>
  <c r="X58" i="86"/>
  <c r="W58" i="86"/>
  <c r="V58" i="86"/>
  <c r="U58" i="86"/>
  <c r="AG66" i="86" s="1"/>
  <c r="AF55" i="86"/>
  <c r="AF95" i="86" s="1"/>
  <c r="AE55" i="86"/>
  <c r="AE95" i="86" s="1"/>
  <c r="AD55" i="86"/>
  <c r="AD95" i="86" s="1"/>
  <c r="AC55" i="86"/>
  <c r="AC95" i="86" s="1"/>
  <c r="AB55" i="86"/>
  <c r="AB95" i="86" s="1"/>
  <c r="AA55" i="86"/>
  <c r="AA95" i="86" s="1"/>
  <c r="Z55" i="86"/>
  <c r="Z95" i="86" s="1"/>
  <c r="Y55" i="86"/>
  <c r="Y95" i="86" s="1"/>
  <c r="X55" i="86"/>
  <c r="X95" i="86" s="1"/>
  <c r="W55" i="86"/>
  <c r="W95" i="86" s="1"/>
  <c r="V55" i="86"/>
  <c r="V95" i="86" s="1"/>
  <c r="U55" i="86"/>
  <c r="U95" i="86" s="1"/>
  <c r="AF54" i="86"/>
  <c r="AE54" i="86"/>
  <c r="AE94" i="86" s="1"/>
  <c r="AD54" i="86"/>
  <c r="AD94" i="86" s="1"/>
  <c r="AC54" i="86"/>
  <c r="AC94" i="86" s="1"/>
  <c r="AB54" i="86"/>
  <c r="AB94" i="86" s="1"/>
  <c r="AA54" i="86"/>
  <c r="AA94" i="86" s="1"/>
  <c r="Z54" i="86"/>
  <c r="Z94" i="86" s="1"/>
  <c r="Y54" i="86"/>
  <c r="Y94" i="86" s="1"/>
  <c r="X54" i="86"/>
  <c r="X94" i="86" s="1"/>
  <c r="W54" i="86"/>
  <c r="W94" i="86" s="1"/>
  <c r="V54" i="86"/>
  <c r="V94" i="86" s="1"/>
  <c r="U54" i="86"/>
  <c r="U94" i="86" s="1"/>
  <c r="AF53" i="86"/>
  <c r="AF93" i="86" s="1"/>
  <c r="AE53" i="86"/>
  <c r="AE93" i="86" s="1"/>
  <c r="AD53" i="86"/>
  <c r="AD93" i="86" s="1"/>
  <c r="AC53" i="86"/>
  <c r="AC93" i="86" s="1"/>
  <c r="AB53" i="86"/>
  <c r="AB93" i="86" s="1"/>
  <c r="AA53" i="86"/>
  <c r="AA93" i="86" s="1"/>
  <c r="Z53" i="86"/>
  <c r="Z93" i="86" s="1"/>
  <c r="Y53" i="86"/>
  <c r="Y93" i="86" s="1"/>
  <c r="X53" i="86"/>
  <c r="X93" i="86" s="1"/>
  <c r="W53" i="86"/>
  <c r="W93" i="86" s="1"/>
  <c r="V53" i="86"/>
  <c r="V93" i="86" s="1"/>
  <c r="U53" i="86"/>
  <c r="U93" i="86" s="1"/>
  <c r="AF52" i="86"/>
  <c r="AF92" i="86" s="1"/>
  <c r="AE52" i="86"/>
  <c r="AE92" i="86" s="1"/>
  <c r="AD52" i="86"/>
  <c r="AD92" i="86" s="1"/>
  <c r="AC52" i="86"/>
  <c r="AC92" i="86" s="1"/>
  <c r="AB52" i="86"/>
  <c r="AB92" i="86" s="1"/>
  <c r="AA52" i="86"/>
  <c r="AA92" i="86" s="1"/>
  <c r="Z52" i="86"/>
  <c r="Z92" i="86" s="1"/>
  <c r="Y52" i="86"/>
  <c r="Y92" i="86" s="1"/>
  <c r="X52" i="86"/>
  <c r="X92" i="86" s="1"/>
  <c r="W52" i="86"/>
  <c r="W92" i="86" s="1"/>
  <c r="V52" i="86"/>
  <c r="V92" i="86" s="1"/>
  <c r="U52" i="86"/>
  <c r="U92" i="86" s="1"/>
  <c r="AF51" i="86"/>
  <c r="AF91" i="86" s="1"/>
  <c r="AE51" i="86"/>
  <c r="AE91" i="86" s="1"/>
  <c r="AD51" i="86"/>
  <c r="AD91" i="86" s="1"/>
  <c r="AC51" i="86"/>
  <c r="AC91" i="86" s="1"/>
  <c r="AB51" i="86"/>
  <c r="AB91" i="86" s="1"/>
  <c r="AA51" i="86"/>
  <c r="AA91" i="86" s="1"/>
  <c r="Z51" i="86"/>
  <c r="Z91" i="86" s="1"/>
  <c r="Y51" i="86"/>
  <c r="Y91" i="86" s="1"/>
  <c r="X51" i="86"/>
  <c r="X91" i="86" s="1"/>
  <c r="W51" i="86"/>
  <c r="W91" i="86" s="1"/>
  <c r="V51" i="86"/>
  <c r="V91" i="86" s="1"/>
  <c r="U51" i="86"/>
  <c r="U91" i="86" s="1"/>
  <c r="AF50" i="86"/>
  <c r="AF90" i="86" s="1"/>
  <c r="AE50" i="86"/>
  <c r="AE90" i="86" s="1"/>
  <c r="AD50" i="86"/>
  <c r="AD90" i="86" s="1"/>
  <c r="AC50" i="86"/>
  <c r="AC90" i="86" s="1"/>
  <c r="AB50" i="86"/>
  <c r="AB90" i="86" s="1"/>
  <c r="AA50" i="86"/>
  <c r="AA90" i="86" s="1"/>
  <c r="Z50" i="86"/>
  <c r="Z90" i="86" s="1"/>
  <c r="Y50" i="86"/>
  <c r="Y90" i="86" s="1"/>
  <c r="X50" i="86"/>
  <c r="X90" i="86" s="1"/>
  <c r="W50" i="86"/>
  <c r="W90" i="86" s="1"/>
  <c r="V50" i="86"/>
  <c r="V90" i="86" s="1"/>
  <c r="U50" i="86"/>
  <c r="U90" i="86" s="1"/>
  <c r="AF49" i="86"/>
  <c r="AF89" i="86" s="1"/>
  <c r="AE49" i="86"/>
  <c r="AE89" i="86" s="1"/>
  <c r="AD49" i="86"/>
  <c r="AD89" i="86" s="1"/>
  <c r="AC49" i="86"/>
  <c r="AC89" i="86" s="1"/>
  <c r="AB49" i="86"/>
  <c r="AB89" i="86" s="1"/>
  <c r="AA49" i="86"/>
  <c r="AA89" i="86" s="1"/>
  <c r="Z49" i="86"/>
  <c r="Z89" i="86" s="1"/>
  <c r="Y49" i="86"/>
  <c r="Y89" i="86" s="1"/>
  <c r="X49" i="86"/>
  <c r="X89" i="86" s="1"/>
  <c r="W49" i="86"/>
  <c r="W89" i="86" s="1"/>
  <c r="V49" i="86"/>
  <c r="V89" i="86" s="1"/>
  <c r="U49" i="86"/>
  <c r="U89" i="86" s="1"/>
  <c r="AF48" i="86"/>
  <c r="AF88" i="86" s="1"/>
  <c r="AE48" i="86"/>
  <c r="AE88" i="86" s="1"/>
  <c r="AD48" i="86"/>
  <c r="AD88" i="86" s="1"/>
  <c r="AC48" i="86"/>
  <c r="AC88" i="86" s="1"/>
  <c r="AB48" i="86"/>
  <c r="AB88" i="86" s="1"/>
  <c r="AA48" i="86"/>
  <c r="AA88" i="86" s="1"/>
  <c r="Z48" i="86"/>
  <c r="Z88" i="86" s="1"/>
  <c r="Y48" i="86"/>
  <c r="Y88" i="86" s="1"/>
  <c r="X48" i="86"/>
  <c r="X88" i="86" s="1"/>
  <c r="W48" i="86"/>
  <c r="W88" i="86" s="1"/>
  <c r="V48" i="86"/>
  <c r="V88" i="86" s="1"/>
  <c r="U48" i="86"/>
  <c r="U88" i="86" s="1"/>
  <c r="AF47" i="86"/>
  <c r="AF87" i="86" s="1"/>
  <c r="AE47" i="86"/>
  <c r="AE87" i="86" s="1"/>
  <c r="AD47" i="86"/>
  <c r="AD87" i="86" s="1"/>
  <c r="AC47" i="86"/>
  <c r="AC87" i="86" s="1"/>
  <c r="AB47" i="86"/>
  <c r="AB87" i="86" s="1"/>
  <c r="AA47" i="86"/>
  <c r="AA87" i="86" s="1"/>
  <c r="Z47" i="86"/>
  <c r="Z87" i="86" s="1"/>
  <c r="Y47" i="86"/>
  <c r="Y87" i="86" s="1"/>
  <c r="X47" i="86"/>
  <c r="X87" i="86" s="1"/>
  <c r="W47" i="86"/>
  <c r="W87" i="86" s="1"/>
  <c r="V47" i="86"/>
  <c r="V87" i="86" s="1"/>
  <c r="U47" i="86"/>
  <c r="AU41" i="86"/>
  <c r="AT41" i="86"/>
  <c r="AS41" i="86"/>
  <c r="AR41" i="86"/>
  <c r="AQ41" i="86"/>
  <c r="AP41" i="86"/>
  <c r="AO41" i="86"/>
  <c r="AN41" i="86"/>
  <c r="AM41" i="86"/>
  <c r="AL41" i="86"/>
  <c r="AK41" i="86"/>
  <c r="AJ41" i="86"/>
  <c r="AV41" i="86" s="1"/>
  <c r="AU40" i="86"/>
  <c r="AT40" i="86"/>
  <c r="AS40" i="86"/>
  <c r="AR40" i="86"/>
  <c r="AQ40" i="86"/>
  <c r="AP40" i="86"/>
  <c r="AO40" i="86"/>
  <c r="AN40" i="86"/>
  <c r="AM40" i="86"/>
  <c r="AL40" i="86"/>
  <c r="AK40" i="86"/>
  <c r="AJ40" i="86"/>
  <c r="AV40" i="86" s="1"/>
  <c r="V69" i="23"/>
  <c r="AH125" i="79"/>
  <c r="AH118" i="79"/>
  <c r="AG124" i="79"/>
  <c r="AG125" i="79"/>
  <c r="T38" i="5"/>
  <c r="AF125" i="79"/>
  <c r="T37" i="5"/>
  <c r="AE125" i="79"/>
  <c r="AD125" i="79"/>
  <c r="AC125" i="79"/>
  <c r="AB125" i="79"/>
  <c r="T36" i="5"/>
  <c r="AA125" i="79"/>
  <c r="Z125" i="79"/>
  <c r="Y125" i="79"/>
  <c r="X125" i="79"/>
  <c r="W125" i="79"/>
  <c r="V125" i="79"/>
  <c r="U125" i="79"/>
  <c r="AF124" i="79"/>
  <c r="AE124" i="79"/>
  <c r="AD124" i="79"/>
  <c r="AC124" i="79"/>
  <c r="AB124" i="79"/>
  <c r="AA124" i="79"/>
  <c r="Z124" i="79"/>
  <c r="Y124" i="79"/>
  <c r="X124" i="79"/>
  <c r="W124" i="79"/>
  <c r="V124" i="79"/>
  <c r="U124" i="79"/>
  <c r="AD122" i="79"/>
  <c r="AE122" i="79"/>
  <c r="AF122" i="79"/>
  <c r="AB122" i="79"/>
  <c r="AC122" i="79"/>
  <c r="AA122" i="79"/>
  <c r="Z122" i="79"/>
  <c r="Y122" i="79"/>
  <c r="X122" i="79"/>
  <c r="W122" i="79"/>
  <c r="V122" i="79"/>
  <c r="U122" i="79"/>
  <c r="AG122" i="79" s="1"/>
  <c r="X123" i="79"/>
  <c r="Y123" i="79"/>
  <c r="Z123" i="79"/>
  <c r="AA123" i="79"/>
  <c r="AB123" i="79"/>
  <c r="AC123" i="79"/>
  <c r="AD123" i="79"/>
  <c r="AE123" i="79"/>
  <c r="AF123" i="79"/>
  <c r="W123" i="79"/>
  <c r="V123" i="79"/>
  <c r="U123" i="79"/>
  <c r="AG123" i="79" s="1"/>
  <c r="U121" i="79"/>
  <c r="V121" i="79"/>
  <c r="W121" i="79"/>
  <c r="X121" i="79"/>
  <c r="AF121" i="79"/>
  <c r="AE121" i="79"/>
  <c r="AD121" i="79"/>
  <c r="AC121" i="79"/>
  <c r="AB121" i="79"/>
  <c r="AA121" i="79"/>
  <c r="Z121" i="79"/>
  <c r="Y121" i="79"/>
  <c r="O27" i="5"/>
  <c r="O26" i="5"/>
  <c r="AK41" i="79"/>
  <c r="AL41" i="79"/>
  <c r="AM41" i="79"/>
  <c r="AN41" i="79"/>
  <c r="AO41" i="79"/>
  <c r="AP41" i="79"/>
  <c r="AQ41" i="79"/>
  <c r="AR41" i="79"/>
  <c r="AS41" i="79"/>
  <c r="AT41" i="79"/>
  <c r="AU41" i="79"/>
  <c r="AJ41" i="79"/>
  <c r="AV41" i="79" s="1"/>
  <c r="AK40" i="79"/>
  <c r="AL40" i="79"/>
  <c r="AM40" i="79"/>
  <c r="AN40" i="79"/>
  <c r="AO40" i="79"/>
  <c r="AP40" i="79"/>
  <c r="AQ40" i="79"/>
  <c r="AR40" i="79"/>
  <c r="AS40" i="79"/>
  <c r="AT40" i="79"/>
  <c r="AU40" i="79"/>
  <c r="AJ40" i="79"/>
  <c r="AV40" i="79" s="1"/>
  <c r="R72" i="23"/>
  <c r="R85" i="23"/>
  <c r="F84" i="23"/>
  <c r="R80" i="23"/>
  <c r="R76" i="23"/>
  <c r="AW41" i="86" l="1"/>
  <c r="U87" i="86"/>
  <c r="AG55" i="86"/>
  <c r="AG96" i="86"/>
  <c r="AF94" i="86"/>
  <c r="AH127" i="86"/>
  <c r="AH118" i="86"/>
  <c r="AG127" i="86"/>
  <c r="AH125" i="86"/>
  <c r="AW41" i="79"/>
  <c r="AG121" i="79"/>
  <c r="AG127" i="79" s="1"/>
  <c r="R83" i="23"/>
  <c r="G76" i="23"/>
  <c r="H76" i="23"/>
  <c r="I76" i="23"/>
  <c r="J76" i="23"/>
  <c r="J84" i="23" s="1"/>
  <c r="K76" i="23"/>
  <c r="L76" i="23"/>
  <c r="M76" i="23"/>
  <c r="N76" i="23"/>
  <c r="N84" i="23" s="1"/>
  <c r="O76" i="23"/>
  <c r="O84" i="23" s="1"/>
  <c r="P76" i="23"/>
  <c r="P84" i="23" s="1"/>
  <c r="Q76" i="23"/>
  <c r="Q84" i="23" s="1"/>
  <c r="F76" i="23"/>
  <c r="F82" i="23"/>
  <c r="G83" i="23"/>
  <c r="H83" i="23"/>
  <c r="I83" i="23"/>
  <c r="J83" i="23"/>
  <c r="K83" i="23"/>
  <c r="L83" i="23"/>
  <c r="M83" i="23"/>
  <c r="N83" i="23"/>
  <c r="O83" i="23"/>
  <c r="P83" i="23"/>
  <c r="Q83" i="23"/>
  <c r="G84" i="23"/>
  <c r="H84" i="23"/>
  <c r="I84" i="23"/>
  <c r="K84" i="23"/>
  <c r="L84" i="23"/>
  <c r="M84" i="23"/>
  <c r="G80" i="23"/>
  <c r="H80" i="23"/>
  <c r="I80" i="23"/>
  <c r="J80" i="23"/>
  <c r="K80" i="23"/>
  <c r="L80" i="23"/>
  <c r="M80" i="23"/>
  <c r="N80" i="23"/>
  <c r="O80" i="23"/>
  <c r="P80" i="23"/>
  <c r="Q80" i="23"/>
  <c r="F80" i="23"/>
  <c r="G72" i="23"/>
  <c r="H72" i="23"/>
  <c r="I72" i="23"/>
  <c r="J72" i="23"/>
  <c r="K72" i="23"/>
  <c r="L72" i="23"/>
  <c r="M72" i="23"/>
  <c r="N72" i="23"/>
  <c r="O72" i="23"/>
  <c r="P72" i="23"/>
  <c r="Q72" i="23"/>
  <c r="F72" i="23"/>
  <c r="AF127" i="86" l="1"/>
  <c r="AG100" i="86"/>
  <c r="AG95" i="86"/>
  <c r="R84" i="23"/>
  <c r="N82" i="23" l="1"/>
  <c r="G74" i="23" l="1"/>
  <c r="G82" i="23"/>
  <c r="H82" i="23"/>
  <c r="I82" i="23"/>
  <c r="J82" i="23"/>
  <c r="K82" i="23"/>
  <c r="L82" i="23"/>
  <c r="M82" i="23"/>
  <c r="O82" i="23"/>
  <c r="P82" i="23"/>
  <c r="Q82" i="23"/>
  <c r="H74" i="23"/>
  <c r="I74" i="23"/>
  <c r="J74" i="23"/>
  <c r="K74" i="23"/>
  <c r="L74" i="23"/>
  <c r="M74" i="23"/>
  <c r="N74" i="23"/>
  <c r="O74" i="23"/>
  <c r="P74" i="23"/>
  <c r="Q74" i="23"/>
  <c r="F74" i="23"/>
  <c r="AG107" i="79" l="1"/>
  <c r="AF106" i="79"/>
  <c r="AG118" i="79"/>
  <c r="AG116" i="79"/>
  <c r="AG115" i="79"/>
  <c r="AG113" i="79"/>
  <c r="AG112" i="79"/>
  <c r="AH127" i="79" s="1"/>
  <c r="AF127" i="79" s="1"/>
  <c r="AG109" i="79"/>
  <c r="AG102" i="79"/>
  <c r="V106" i="79"/>
  <c r="W106" i="79"/>
  <c r="X106" i="79"/>
  <c r="Y106" i="79"/>
  <c r="Z106" i="79"/>
  <c r="AA106" i="79"/>
  <c r="AB106" i="79"/>
  <c r="AC106" i="79"/>
  <c r="AD106" i="79"/>
  <c r="AE106" i="79"/>
  <c r="U106" i="79"/>
  <c r="AG106" i="79" s="1"/>
  <c r="AG98" i="79"/>
  <c r="V81" i="79"/>
  <c r="V99" i="79" s="1"/>
  <c r="W81" i="79"/>
  <c r="W99" i="79" s="1"/>
  <c r="X81" i="79"/>
  <c r="X99" i="79" s="1"/>
  <c r="Y81" i="79"/>
  <c r="Y99" i="79" s="1"/>
  <c r="Z81" i="79"/>
  <c r="Z99" i="79" s="1"/>
  <c r="AA81" i="79"/>
  <c r="AA99" i="79" s="1"/>
  <c r="AB81" i="79"/>
  <c r="AB99" i="79" s="1"/>
  <c r="AC81" i="79"/>
  <c r="AC99" i="79" s="1"/>
  <c r="AD81" i="79"/>
  <c r="AD99" i="79" s="1"/>
  <c r="AE81" i="79"/>
  <c r="AE99" i="79" s="1"/>
  <c r="AF81" i="79"/>
  <c r="AF99" i="79" s="1"/>
  <c r="V82" i="79"/>
  <c r="V100" i="79" s="1"/>
  <c r="W82" i="79"/>
  <c r="W100" i="79" s="1"/>
  <c r="X82" i="79"/>
  <c r="X100" i="79" s="1"/>
  <c r="Y82" i="79"/>
  <c r="Y100" i="79" s="1"/>
  <c r="Z82" i="79"/>
  <c r="Z100" i="79" s="1"/>
  <c r="AA82" i="79"/>
  <c r="AA100" i="79" s="1"/>
  <c r="AB82" i="79"/>
  <c r="AB100" i="79" s="1"/>
  <c r="AC82" i="79"/>
  <c r="AC100" i="79" s="1"/>
  <c r="AD82" i="79"/>
  <c r="AD100" i="79" s="1"/>
  <c r="AE82" i="79"/>
  <c r="AE100" i="79" s="1"/>
  <c r="AF82" i="79"/>
  <c r="AF100" i="79" s="1"/>
  <c r="U81" i="79"/>
  <c r="U99" i="79" s="1"/>
  <c r="U82" i="79"/>
  <c r="U100" i="79" s="1"/>
  <c r="J19" i="18"/>
  <c r="K19" i="18"/>
  <c r="L19" i="18"/>
  <c r="M19" i="18"/>
  <c r="N19" i="18"/>
  <c r="O19" i="18"/>
  <c r="I19" i="18"/>
  <c r="I22" i="18"/>
  <c r="O15" i="47"/>
  <c r="J28" i="35"/>
  <c r="V69" i="79"/>
  <c r="W69" i="79"/>
  <c r="X69" i="79"/>
  <c r="Y69" i="79"/>
  <c r="Z69" i="79"/>
  <c r="AA69" i="79"/>
  <c r="AB69" i="79"/>
  <c r="AC69" i="79"/>
  <c r="AD69" i="79"/>
  <c r="AE69" i="79"/>
  <c r="AF69" i="79"/>
  <c r="V70" i="79"/>
  <c r="W70" i="79"/>
  <c r="X70" i="79"/>
  <c r="Y70" i="79"/>
  <c r="Z70" i="79"/>
  <c r="AA70" i="79"/>
  <c r="AB70" i="79"/>
  <c r="AC70" i="79"/>
  <c r="AD70" i="79"/>
  <c r="AE70" i="79"/>
  <c r="AF70" i="79"/>
  <c r="V71" i="79"/>
  <c r="W71" i="79"/>
  <c r="X71" i="79"/>
  <c r="Y71" i="79"/>
  <c r="Z71" i="79"/>
  <c r="AA71" i="79"/>
  <c r="AB71" i="79"/>
  <c r="AC71" i="79"/>
  <c r="AD71" i="79"/>
  <c r="AE71" i="79"/>
  <c r="AF71" i="79"/>
  <c r="V72" i="79"/>
  <c r="W72" i="79"/>
  <c r="X72" i="79"/>
  <c r="Y72" i="79"/>
  <c r="Z72" i="79"/>
  <c r="AA72" i="79"/>
  <c r="AB72" i="79"/>
  <c r="AC72" i="79"/>
  <c r="AD72" i="79"/>
  <c r="AE72" i="79"/>
  <c r="AF72" i="79"/>
  <c r="V73" i="79"/>
  <c r="W73" i="79"/>
  <c r="X73" i="79"/>
  <c r="Y73" i="79"/>
  <c r="Z73" i="79"/>
  <c r="AA73" i="79"/>
  <c r="AB73" i="79"/>
  <c r="AC73" i="79"/>
  <c r="AD73" i="79"/>
  <c r="AE73" i="79"/>
  <c r="AF73" i="79"/>
  <c r="V74" i="79"/>
  <c r="W74" i="79"/>
  <c r="X74" i="79"/>
  <c r="Y74" i="79"/>
  <c r="Z74" i="79"/>
  <c r="AA74" i="79"/>
  <c r="AB74" i="79"/>
  <c r="AC74" i="79"/>
  <c r="AD74" i="79"/>
  <c r="AE74" i="79"/>
  <c r="AF74" i="79"/>
  <c r="V75" i="79"/>
  <c r="W75" i="79"/>
  <c r="X75" i="79"/>
  <c r="Y75" i="79"/>
  <c r="Z75" i="79"/>
  <c r="AA75" i="79"/>
  <c r="AB75" i="79"/>
  <c r="AC75" i="79"/>
  <c r="AD75" i="79"/>
  <c r="AE75" i="79"/>
  <c r="AF75" i="79"/>
  <c r="V76" i="79"/>
  <c r="W76" i="79"/>
  <c r="X76" i="79"/>
  <c r="Y76" i="79"/>
  <c r="Z76" i="79"/>
  <c r="AA76" i="79"/>
  <c r="AB76" i="79"/>
  <c r="AC76" i="79"/>
  <c r="AD76" i="79"/>
  <c r="AE76" i="79"/>
  <c r="AF76" i="79"/>
  <c r="V77" i="79"/>
  <c r="W77" i="79"/>
  <c r="X77" i="79"/>
  <c r="Y77" i="79"/>
  <c r="Z77" i="79"/>
  <c r="AA77" i="79"/>
  <c r="AB77" i="79"/>
  <c r="AC77" i="79"/>
  <c r="AD77" i="79"/>
  <c r="AE77" i="79"/>
  <c r="AF77" i="79"/>
  <c r="V78" i="79"/>
  <c r="V96" i="79" s="1"/>
  <c r="W78" i="79"/>
  <c r="W96" i="79" s="1"/>
  <c r="X78" i="79"/>
  <c r="X96" i="79" s="1"/>
  <c r="Y78" i="79"/>
  <c r="Y96" i="79" s="1"/>
  <c r="Z78" i="79"/>
  <c r="Z96" i="79" s="1"/>
  <c r="AA78" i="79"/>
  <c r="AA96" i="79" s="1"/>
  <c r="AB78" i="79"/>
  <c r="AB96" i="79" s="1"/>
  <c r="AC78" i="79"/>
  <c r="AC96" i="79" s="1"/>
  <c r="AD78" i="79"/>
  <c r="AD96" i="79" s="1"/>
  <c r="AE78" i="79"/>
  <c r="AE96" i="79" s="1"/>
  <c r="AF78" i="79"/>
  <c r="AF96" i="79" s="1"/>
  <c r="V79" i="79"/>
  <c r="V97" i="79" s="1"/>
  <c r="W79" i="79"/>
  <c r="W97" i="79" s="1"/>
  <c r="X79" i="79"/>
  <c r="X97" i="79" s="1"/>
  <c r="Y79" i="79"/>
  <c r="Y97" i="79" s="1"/>
  <c r="Z79" i="79"/>
  <c r="Z97" i="79" s="1"/>
  <c r="AA79" i="79"/>
  <c r="AA97" i="79" s="1"/>
  <c r="AB79" i="79"/>
  <c r="AB97" i="79" s="1"/>
  <c r="AC79" i="79"/>
  <c r="AC97" i="79" s="1"/>
  <c r="AD79" i="79"/>
  <c r="AD97" i="79" s="1"/>
  <c r="AE79" i="79"/>
  <c r="AE97" i="79" s="1"/>
  <c r="AF79" i="79"/>
  <c r="AF97" i="79" s="1"/>
  <c r="V80" i="79"/>
  <c r="V98" i="79" s="1"/>
  <c r="W80" i="79"/>
  <c r="W98" i="79" s="1"/>
  <c r="X80" i="79"/>
  <c r="X98" i="79" s="1"/>
  <c r="Y80" i="79"/>
  <c r="Y98" i="79" s="1"/>
  <c r="Z80" i="79"/>
  <c r="Z98" i="79" s="1"/>
  <c r="AA80" i="79"/>
  <c r="AA98" i="79" s="1"/>
  <c r="AB80" i="79"/>
  <c r="AB98" i="79" s="1"/>
  <c r="AC80" i="79"/>
  <c r="AC98" i="79" s="1"/>
  <c r="AD80" i="79"/>
  <c r="AD98" i="79" s="1"/>
  <c r="AE80" i="79"/>
  <c r="AE98" i="79" s="1"/>
  <c r="AF80" i="79"/>
  <c r="AF98" i="79" s="1"/>
  <c r="U80" i="79"/>
  <c r="U98" i="79" s="1"/>
  <c r="U79" i="79"/>
  <c r="U97" i="79" s="1"/>
  <c r="U78" i="79"/>
  <c r="U96" i="79" s="1"/>
  <c r="U77" i="79"/>
  <c r="U76" i="79"/>
  <c r="U75" i="79"/>
  <c r="U74" i="79"/>
  <c r="U73" i="79"/>
  <c r="U72" i="79"/>
  <c r="U71" i="79"/>
  <c r="U70" i="79"/>
  <c r="U69" i="79"/>
  <c r="F16" i="85"/>
  <c r="G16" i="85"/>
  <c r="H16" i="85"/>
  <c r="I16" i="85"/>
  <c r="J16" i="85"/>
  <c r="K16" i="85"/>
  <c r="L16" i="85"/>
  <c r="M16" i="85"/>
  <c r="N16" i="85"/>
  <c r="O16" i="85"/>
  <c r="P16" i="85"/>
  <c r="E16" i="85"/>
  <c r="Q16" i="85" s="1"/>
  <c r="F24" i="85"/>
  <c r="G24" i="85"/>
  <c r="H24" i="85"/>
  <c r="I24" i="85"/>
  <c r="J24" i="85"/>
  <c r="K24" i="85"/>
  <c r="L24" i="85"/>
  <c r="M24" i="85"/>
  <c r="N24" i="85"/>
  <c r="O24" i="85"/>
  <c r="P24" i="85"/>
  <c r="E24" i="85"/>
  <c r="Q27" i="85"/>
  <c r="Z51" i="84" l="1"/>
  <c r="Z52" i="84" s="1"/>
  <c r="AA52" i="84" s="1"/>
  <c r="Z50" i="84"/>
  <c r="Y43" i="84"/>
  <c r="R43" i="84"/>
  <c r="Q43" i="84"/>
  <c r="P43" i="84"/>
  <c r="O43" i="84"/>
  <c r="N43" i="84"/>
  <c r="M43" i="84"/>
  <c r="L43" i="84"/>
  <c r="K43" i="84"/>
  <c r="J43" i="84"/>
  <c r="I43" i="84"/>
  <c r="H43" i="84"/>
  <c r="G43" i="84"/>
  <c r="S43" i="84" s="1"/>
  <c r="S44" i="84" s="1"/>
  <c r="R39" i="84"/>
  <c r="E33" i="84"/>
  <c r="L38" i="84" s="1"/>
  <c r="Y25" i="84"/>
  <c r="R25" i="84"/>
  <c r="Q25" i="84"/>
  <c r="P25" i="84"/>
  <c r="O25" i="84"/>
  <c r="N25" i="84"/>
  <c r="M25" i="84"/>
  <c r="L25" i="84"/>
  <c r="K25" i="84"/>
  <c r="J25" i="84"/>
  <c r="S25" i="84" s="1"/>
  <c r="S26" i="84" s="1"/>
  <c r="I25" i="84"/>
  <c r="H25" i="84"/>
  <c r="G25" i="84"/>
  <c r="G38" i="82"/>
  <c r="H38" i="82"/>
  <c r="I38" i="82"/>
  <c r="J38" i="82"/>
  <c r="K38" i="82"/>
  <c r="L38" i="82"/>
  <c r="M38" i="82"/>
  <c r="N38" i="82"/>
  <c r="O38" i="82"/>
  <c r="P38" i="82"/>
  <c r="Q38" i="82"/>
  <c r="F38" i="82"/>
  <c r="E33" i="82"/>
  <c r="I41" i="83"/>
  <c r="J41" i="83"/>
  <c r="L41" i="83"/>
  <c r="M41" i="83"/>
  <c r="N41" i="83"/>
  <c r="O41" i="83"/>
  <c r="P41" i="83"/>
  <c r="Q41" i="83"/>
  <c r="F41" i="83"/>
  <c r="H37" i="83"/>
  <c r="G41" i="83" s="1"/>
  <c r="Z54" i="83"/>
  <c r="Z55" i="83" s="1"/>
  <c r="AA55" i="83" s="1"/>
  <c r="Z53" i="83"/>
  <c r="Y46" i="83"/>
  <c r="R46" i="83"/>
  <c r="Q46" i="83"/>
  <c r="P46" i="83"/>
  <c r="O46" i="83"/>
  <c r="N46" i="83"/>
  <c r="M46" i="83"/>
  <c r="L46" i="83"/>
  <c r="K46" i="83"/>
  <c r="J46" i="83"/>
  <c r="I46" i="83"/>
  <c r="H46" i="83"/>
  <c r="G46" i="83"/>
  <c r="Y33" i="83"/>
  <c r="R33" i="83"/>
  <c r="Q33" i="83"/>
  <c r="P33" i="83"/>
  <c r="O33" i="83"/>
  <c r="S33" i="83" s="1"/>
  <c r="S34" i="83" s="1"/>
  <c r="N33" i="83"/>
  <c r="M33" i="83"/>
  <c r="L33" i="83"/>
  <c r="K33" i="83"/>
  <c r="J33" i="83"/>
  <c r="I33" i="83"/>
  <c r="H33" i="83"/>
  <c r="G33" i="83"/>
  <c r="Z51" i="82"/>
  <c r="Z50" i="82"/>
  <c r="Y43" i="82"/>
  <c r="R43" i="82"/>
  <c r="Q43" i="82"/>
  <c r="P43" i="82"/>
  <c r="O43" i="82"/>
  <c r="N43" i="82"/>
  <c r="M43" i="82"/>
  <c r="L43" i="82"/>
  <c r="K43" i="82"/>
  <c r="J43" i="82"/>
  <c r="I43" i="82"/>
  <c r="H43" i="82"/>
  <c r="G43" i="82"/>
  <c r="R39" i="82"/>
  <c r="Y25" i="82"/>
  <c r="R25" i="82"/>
  <c r="Q25" i="82"/>
  <c r="P25" i="82"/>
  <c r="O25" i="82"/>
  <c r="N25" i="82"/>
  <c r="M25" i="82"/>
  <c r="L25" i="82"/>
  <c r="K25" i="82"/>
  <c r="J25" i="82"/>
  <c r="I25" i="82"/>
  <c r="H25" i="82"/>
  <c r="G25" i="82"/>
  <c r="G33" i="81"/>
  <c r="H33" i="81"/>
  <c r="I33" i="81"/>
  <c r="J33" i="81"/>
  <c r="K33" i="81"/>
  <c r="L33" i="81"/>
  <c r="M33" i="81"/>
  <c r="N33" i="81"/>
  <c r="O33" i="81"/>
  <c r="P33" i="81"/>
  <c r="Q33" i="81"/>
  <c r="F33" i="81"/>
  <c r="J6" i="81"/>
  <c r="J7" i="81" s="1"/>
  <c r="C7" i="72"/>
  <c r="Z62" i="81"/>
  <c r="Z61" i="81"/>
  <c r="Y54" i="81"/>
  <c r="R54" i="81"/>
  <c r="Q54" i="81"/>
  <c r="P54" i="81"/>
  <c r="O54" i="81"/>
  <c r="N54" i="81"/>
  <c r="M54" i="81"/>
  <c r="L54" i="81"/>
  <c r="K54" i="81"/>
  <c r="J54" i="81"/>
  <c r="I54" i="81"/>
  <c r="H54" i="81"/>
  <c r="G54" i="81"/>
  <c r="R50" i="81"/>
  <c r="R49" i="81"/>
  <c r="Y41" i="81"/>
  <c r="R41" i="81"/>
  <c r="Q41" i="81"/>
  <c r="P41" i="81"/>
  <c r="O41" i="81"/>
  <c r="N41" i="81"/>
  <c r="M41" i="81"/>
  <c r="L41" i="81"/>
  <c r="K41" i="81"/>
  <c r="J41" i="81"/>
  <c r="I41" i="81"/>
  <c r="H41" i="81"/>
  <c r="G41" i="81"/>
  <c r="Y26" i="81"/>
  <c r="R26" i="81"/>
  <c r="Q26" i="81"/>
  <c r="P26" i="81"/>
  <c r="O26" i="81"/>
  <c r="N26" i="81"/>
  <c r="M26" i="81"/>
  <c r="L26" i="81"/>
  <c r="K26" i="81"/>
  <c r="J26" i="81"/>
  <c r="I26" i="81"/>
  <c r="H26" i="81"/>
  <c r="G26" i="81"/>
  <c r="R21" i="81"/>
  <c r="X24" i="80"/>
  <c r="Q24" i="80"/>
  <c r="P24" i="80"/>
  <c r="O24" i="80"/>
  <c r="N24" i="80"/>
  <c r="M24" i="80"/>
  <c r="L24" i="80"/>
  <c r="K24" i="80"/>
  <c r="J24" i="80"/>
  <c r="I24" i="80"/>
  <c r="H24" i="80"/>
  <c r="R24" i="80" s="1"/>
  <c r="R25" i="80" s="1"/>
  <c r="G24" i="80"/>
  <c r="F24" i="80"/>
  <c r="Q19" i="80"/>
  <c r="Q45" i="80"/>
  <c r="X36" i="80"/>
  <c r="Q36" i="80"/>
  <c r="P36" i="80"/>
  <c r="O36" i="80"/>
  <c r="N36" i="80"/>
  <c r="M36" i="80"/>
  <c r="L36" i="80"/>
  <c r="K36" i="80"/>
  <c r="J36" i="80"/>
  <c r="I36" i="80"/>
  <c r="R36" i="80" s="1"/>
  <c r="R37" i="80" s="1"/>
  <c r="H36" i="80"/>
  <c r="G36" i="80"/>
  <c r="F36" i="80"/>
  <c r="Q31" i="80"/>
  <c r="Y57" i="80"/>
  <c r="Y56" i="80"/>
  <c r="X49" i="80"/>
  <c r="Q49" i="80"/>
  <c r="P49" i="80"/>
  <c r="O49" i="80"/>
  <c r="N49" i="80"/>
  <c r="M49" i="80"/>
  <c r="L49" i="80"/>
  <c r="K49" i="80"/>
  <c r="J49" i="80"/>
  <c r="I49" i="80"/>
  <c r="H49" i="80"/>
  <c r="G49" i="80"/>
  <c r="F49" i="80"/>
  <c r="S27" i="71"/>
  <c r="R27" i="71"/>
  <c r="D27" i="71"/>
  <c r="E27" i="71"/>
  <c r="F27" i="71"/>
  <c r="G27" i="71"/>
  <c r="H27" i="71"/>
  <c r="I27" i="71"/>
  <c r="J27" i="71"/>
  <c r="K27" i="71"/>
  <c r="L27" i="71"/>
  <c r="M27" i="71"/>
  <c r="N27" i="71"/>
  <c r="C27" i="71"/>
  <c r="R38" i="82" l="1"/>
  <c r="R41" i="83"/>
  <c r="K41" i="83"/>
  <c r="H41" i="83"/>
  <c r="Q24" i="85"/>
  <c r="Q28" i="85" s="1"/>
  <c r="S27" i="84"/>
  <c r="Z25" i="84"/>
  <c r="S45" i="84"/>
  <c r="Z43" i="84"/>
  <c r="N38" i="84"/>
  <c r="M38" i="84"/>
  <c r="O38" i="84"/>
  <c r="P38" i="84"/>
  <c r="Q38" i="84"/>
  <c r="J38" i="84"/>
  <c r="G38" i="84"/>
  <c r="H38" i="84"/>
  <c r="I38" i="84"/>
  <c r="K38" i="84"/>
  <c r="F38" i="84"/>
  <c r="S25" i="82"/>
  <c r="S26" i="82" s="1"/>
  <c r="Z25" i="82" s="1"/>
  <c r="Z52" i="82"/>
  <c r="AA52" i="82" s="1"/>
  <c r="S43" i="82"/>
  <c r="S44" i="82" s="1"/>
  <c r="Z43" i="82" s="1"/>
  <c r="S46" i="83"/>
  <c r="S47" i="83" s="1"/>
  <c r="Z33" i="83"/>
  <c r="S35" i="83"/>
  <c r="S48" i="83"/>
  <c r="Z46" i="83"/>
  <c r="S45" i="82"/>
  <c r="R33" i="81"/>
  <c r="S41" i="81"/>
  <c r="S42" i="81" s="1"/>
  <c r="S54" i="81"/>
  <c r="S55" i="81" s="1"/>
  <c r="S56" i="81" s="1"/>
  <c r="S26" i="81"/>
  <c r="S27" i="81" s="1"/>
  <c r="Z63" i="81"/>
  <c r="AA63" i="81" s="1"/>
  <c r="S43" i="81"/>
  <c r="Z41" i="81"/>
  <c r="Z26" i="81"/>
  <c r="S28" i="81"/>
  <c r="Y24" i="80"/>
  <c r="R26" i="80"/>
  <c r="R38" i="80"/>
  <c r="Y36" i="80"/>
  <c r="Y58" i="80"/>
  <c r="Z58" i="80" s="1"/>
  <c r="R49" i="80"/>
  <c r="R50" i="80" s="1"/>
  <c r="R51" i="80" s="1"/>
  <c r="Y49" i="80"/>
  <c r="R38" i="84" l="1"/>
  <c r="S27" i="82"/>
  <c r="Z54" i="81"/>
  <c r="Q44" i="80"/>
  <c r="AG78" i="79" l="1"/>
  <c r="AG79" i="79"/>
  <c r="AG80" i="79"/>
  <c r="AG77" i="79"/>
  <c r="V58" i="79"/>
  <c r="W58" i="79"/>
  <c r="X58" i="79"/>
  <c r="Y58" i="79"/>
  <c r="Z58" i="79"/>
  <c r="AA58" i="79"/>
  <c r="AB58" i="79"/>
  <c r="AC58" i="79"/>
  <c r="AD58" i="79"/>
  <c r="AE58" i="79"/>
  <c r="AF58" i="79"/>
  <c r="V59" i="79"/>
  <c r="W59" i="79"/>
  <c r="X59" i="79"/>
  <c r="Y59" i="79"/>
  <c r="Z59" i="79"/>
  <c r="AA59" i="79"/>
  <c r="AB59" i="79"/>
  <c r="AC59" i="79"/>
  <c r="AD59" i="79"/>
  <c r="AE59" i="79"/>
  <c r="AF59" i="79"/>
  <c r="V60" i="79"/>
  <c r="W60" i="79"/>
  <c r="X60" i="79"/>
  <c r="Y60" i="79"/>
  <c r="Z60" i="79"/>
  <c r="AA60" i="79"/>
  <c r="AB60" i="79"/>
  <c r="AC60" i="79"/>
  <c r="AD60" i="79"/>
  <c r="AE60" i="79"/>
  <c r="AF60" i="79"/>
  <c r="V61" i="79"/>
  <c r="W61" i="79"/>
  <c r="X61" i="79"/>
  <c r="Y61" i="79"/>
  <c r="Z61" i="79"/>
  <c r="AA61" i="79"/>
  <c r="AB61" i="79"/>
  <c r="AC61" i="79"/>
  <c r="AD61" i="79"/>
  <c r="AE61" i="79"/>
  <c r="AF61" i="79"/>
  <c r="V62" i="79"/>
  <c r="W62" i="79"/>
  <c r="X62" i="79"/>
  <c r="Y62" i="79"/>
  <c r="Z62" i="79"/>
  <c r="AA62" i="79"/>
  <c r="AB62" i="79"/>
  <c r="AC62" i="79"/>
  <c r="AD62" i="79"/>
  <c r="AE62" i="79"/>
  <c r="AF62" i="79"/>
  <c r="V63" i="79"/>
  <c r="W63" i="79"/>
  <c r="X63" i="79"/>
  <c r="Y63" i="79"/>
  <c r="Z63" i="79"/>
  <c r="AA63" i="79"/>
  <c r="AB63" i="79"/>
  <c r="AC63" i="79"/>
  <c r="AD63" i="79"/>
  <c r="AE63" i="79"/>
  <c r="AF63" i="79"/>
  <c r="V64" i="79"/>
  <c r="W64" i="79"/>
  <c r="X64" i="79"/>
  <c r="Y64" i="79"/>
  <c r="Z64" i="79"/>
  <c r="AA64" i="79"/>
  <c r="AB64" i="79"/>
  <c r="AC64" i="79"/>
  <c r="AD64" i="79"/>
  <c r="AE64" i="79"/>
  <c r="AF64" i="79"/>
  <c r="V65" i="79"/>
  <c r="W65" i="79"/>
  <c r="X65" i="79"/>
  <c r="Y65" i="79"/>
  <c r="Z65" i="79"/>
  <c r="AA65" i="79"/>
  <c r="AB65" i="79"/>
  <c r="AC65" i="79"/>
  <c r="AD65" i="79"/>
  <c r="AE65" i="79"/>
  <c r="AF65" i="79"/>
  <c r="V66" i="79"/>
  <c r="W66" i="79"/>
  <c r="X66" i="79"/>
  <c r="Y66" i="79"/>
  <c r="Z66" i="79"/>
  <c r="AA66" i="79"/>
  <c r="AB66" i="79"/>
  <c r="AC66" i="79"/>
  <c r="AD66" i="79"/>
  <c r="AE66" i="79"/>
  <c r="AF66" i="79"/>
  <c r="U66" i="79"/>
  <c r="U65" i="79"/>
  <c r="U64" i="79"/>
  <c r="U63" i="79"/>
  <c r="U62" i="79"/>
  <c r="U61" i="79"/>
  <c r="U60" i="79"/>
  <c r="U59" i="79"/>
  <c r="U58" i="79"/>
  <c r="V49" i="79"/>
  <c r="W49" i="79"/>
  <c r="X49" i="79"/>
  <c r="X89" i="79" s="1"/>
  <c r="Y49" i="79"/>
  <c r="Y89" i="79" s="1"/>
  <c r="Z49" i="79"/>
  <c r="Z89" i="79" s="1"/>
  <c r="AA49" i="79"/>
  <c r="AB49" i="79"/>
  <c r="AC49" i="79"/>
  <c r="AC89" i="79" s="1"/>
  <c r="AD49" i="79"/>
  <c r="AD89" i="79" s="1"/>
  <c r="AE49" i="79"/>
  <c r="AE89" i="79" s="1"/>
  <c r="AF49" i="79"/>
  <c r="AF89" i="79" s="1"/>
  <c r="V50" i="79"/>
  <c r="V90" i="79" s="1"/>
  <c r="W50" i="79"/>
  <c r="W90" i="79" s="1"/>
  <c r="X50" i="79"/>
  <c r="Y50" i="79"/>
  <c r="Z50" i="79"/>
  <c r="AA50" i="79"/>
  <c r="AA90" i="79" s="1"/>
  <c r="AB50" i="79"/>
  <c r="AB90" i="79" s="1"/>
  <c r="AC50" i="79"/>
  <c r="AC90" i="79" s="1"/>
  <c r="AD50" i="79"/>
  <c r="AE50" i="79"/>
  <c r="AF50" i="79"/>
  <c r="AF90" i="79" s="1"/>
  <c r="V51" i="79"/>
  <c r="V91" i="79" s="1"/>
  <c r="W51" i="79"/>
  <c r="W91" i="79" s="1"/>
  <c r="X51" i="79"/>
  <c r="X91" i="79" s="1"/>
  <c r="Y51" i="79"/>
  <c r="Y91" i="79" s="1"/>
  <c r="Z51" i="79"/>
  <c r="Z91" i="79" s="1"/>
  <c r="AA51" i="79"/>
  <c r="AA91" i="79" s="1"/>
  <c r="AB51" i="79"/>
  <c r="AC51" i="79"/>
  <c r="AD51" i="79"/>
  <c r="AD91" i="79" s="1"/>
  <c r="AE51" i="79"/>
  <c r="AE91" i="79" s="1"/>
  <c r="AF51" i="79"/>
  <c r="AF91" i="79" s="1"/>
  <c r="V52" i="79"/>
  <c r="W52" i="79"/>
  <c r="X52" i="79"/>
  <c r="X92" i="79" s="1"/>
  <c r="Y52" i="79"/>
  <c r="Y92" i="79" s="1"/>
  <c r="Z52" i="79"/>
  <c r="Z92" i="79" s="1"/>
  <c r="AA52" i="79"/>
  <c r="AA92" i="79" s="1"/>
  <c r="AB52" i="79"/>
  <c r="AB92" i="79" s="1"/>
  <c r="AC52" i="79"/>
  <c r="AC92" i="79" s="1"/>
  <c r="AD52" i="79"/>
  <c r="AD92" i="79" s="1"/>
  <c r="AE52" i="79"/>
  <c r="AF52" i="79"/>
  <c r="V53" i="79"/>
  <c r="V93" i="79" s="1"/>
  <c r="W53" i="79"/>
  <c r="W93" i="79" s="1"/>
  <c r="X53" i="79"/>
  <c r="Y53" i="79"/>
  <c r="Z53" i="79"/>
  <c r="AA53" i="79"/>
  <c r="AA93" i="79" s="1"/>
  <c r="AB53" i="79"/>
  <c r="AB93" i="79" s="1"/>
  <c r="AC53" i="79"/>
  <c r="AD53" i="79"/>
  <c r="AD93" i="79" s="1"/>
  <c r="AE53" i="79"/>
  <c r="AE93" i="79" s="1"/>
  <c r="AF53" i="79"/>
  <c r="AF93" i="79" s="1"/>
  <c r="V54" i="79"/>
  <c r="V94" i="79" s="1"/>
  <c r="W54" i="79"/>
  <c r="X54" i="79"/>
  <c r="Y54" i="79"/>
  <c r="Y94" i="79" s="1"/>
  <c r="Z54" i="79"/>
  <c r="Z94" i="79" s="1"/>
  <c r="AA54" i="79"/>
  <c r="AA94" i="79" s="1"/>
  <c r="AB54" i="79"/>
  <c r="AC54" i="79"/>
  <c r="AD54" i="79"/>
  <c r="AD94" i="79" s="1"/>
  <c r="AE54" i="79"/>
  <c r="AE94" i="79" s="1"/>
  <c r="AF54" i="79"/>
  <c r="V55" i="79"/>
  <c r="V95" i="79" s="1"/>
  <c r="W55" i="79"/>
  <c r="W95" i="79" s="1"/>
  <c r="X55" i="79"/>
  <c r="X95" i="79" s="1"/>
  <c r="Y55" i="79"/>
  <c r="Y95" i="79" s="1"/>
  <c r="Z55" i="79"/>
  <c r="AA55" i="79"/>
  <c r="AB55" i="79"/>
  <c r="AB95" i="79" s="1"/>
  <c r="AC55" i="79"/>
  <c r="AC95" i="79" s="1"/>
  <c r="AD55" i="79"/>
  <c r="AD95" i="79" s="1"/>
  <c r="AE55" i="79"/>
  <c r="AE95" i="79" s="1"/>
  <c r="AF55" i="79"/>
  <c r="V48" i="79"/>
  <c r="V88" i="79" s="1"/>
  <c r="W48" i="79"/>
  <c r="W88" i="79" s="1"/>
  <c r="X48" i="79"/>
  <c r="X88" i="79" s="1"/>
  <c r="Y48" i="79"/>
  <c r="Y88" i="79" s="1"/>
  <c r="Z48" i="79"/>
  <c r="Z88" i="79" s="1"/>
  <c r="AA48" i="79"/>
  <c r="AA88" i="79" s="1"/>
  <c r="AB48" i="79"/>
  <c r="AB88" i="79" s="1"/>
  <c r="AC48" i="79"/>
  <c r="AD48" i="79"/>
  <c r="AE48" i="79"/>
  <c r="AF48" i="79"/>
  <c r="U53" i="79"/>
  <c r="U54" i="79"/>
  <c r="U55" i="79"/>
  <c r="U95" i="79" s="1"/>
  <c r="U52" i="79"/>
  <c r="U92" i="79" s="1"/>
  <c r="U51" i="79"/>
  <c r="U50" i="79"/>
  <c r="U49" i="79"/>
  <c r="U48" i="79"/>
  <c r="V47" i="79"/>
  <c r="V87" i="79" s="1"/>
  <c r="W47" i="79"/>
  <c r="W87" i="79" s="1"/>
  <c r="X47" i="79"/>
  <c r="Y47" i="79"/>
  <c r="Z47" i="79"/>
  <c r="AA47" i="79"/>
  <c r="AB47" i="79"/>
  <c r="AC47" i="79"/>
  <c r="AD47" i="79"/>
  <c r="AE47" i="79"/>
  <c r="AF47" i="79"/>
  <c r="AF87" i="79" s="1"/>
  <c r="U47" i="79"/>
  <c r="J23" i="26"/>
  <c r="S24" i="26"/>
  <c r="H17" i="26"/>
  <c r="S17" i="26" s="1"/>
  <c r="I17" i="26"/>
  <c r="J17" i="26"/>
  <c r="K17" i="26"/>
  <c r="L17" i="26"/>
  <c r="M17" i="26"/>
  <c r="N17" i="26"/>
  <c r="O17" i="26"/>
  <c r="P17" i="26"/>
  <c r="Q17" i="26"/>
  <c r="R17" i="26"/>
  <c r="G17" i="26"/>
  <c r="O14" i="26"/>
  <c r="J14" i="26"/>
  <c r="I14" i="26"/>
  <c r="P10" i="26"/>
  <c r="AF94" i="79" l="1"/>
  <c r="AG96" i="79"/>
  <c r="U88" i="79"/>
  <c r="AA95" i="79"/>
  <c r="Z95" i="79"/>
  <c r="X94" i="79"/>
  <c r="W94" i="79"/>
  <c r="AF92" i="79"/>
  <c r="AE92" i="79"/>
  <c r="AC91" i="79"/>
  <c r="AB91" i="79"/>
  <c r="Z90" i="79"/>
  <c r="Y90" i="79"/>
  <c r="W89" i="79"/>
  <c r="V89" i="79"/>
  <c r="AC88" i="79"/>
  <c r="AE87" i="79"/>
  <c r="AD87" i="79"/>
  <c r="AC87" i="79"/>
  <c r="Z87" i="79"/>
  <c r="Y87" i="79"/>
  <c r="X87" i="79"/>
  <c r="U91" i="79"/>
  <c r="AC93" i="79"/>
  <c r="AB87" i="79"/>
  <c r="W92" i="79"/>
  <c r="AA87" i="79"/>
  <c r="AB94" i="79"/>
  <c r="V92" i="79"/>
  <c r="AA89" i="79"/>
  <c r="U89" i="79"/>
  <c r="AB89" i="79"/>
  <c r="AF88" i="79"/>
  <c r="Y93" i="79"/>
  <c r="AD90" i="79"/>
  <c r="AD88" i="79"/>
  <c r="U87" i="79"/>
  <c r="U94" i="79"/>
  <c r="U93" i="79"/>
  <c r="AF95" i="79"/>
  <c r="AC94" i="79"/>
  <c r="Z93" i="79"/>
  <c r="AE90" i="79"/>
  <c r="AE88" i="79"/>
  <c r="X93" i="79"/>
  <c r="X90" i="79"/>
  <c r="U90" i="79"/>
  <c r="AG66" i="79"/>
  <c r="AG55" i="79"/>
  <c r="J10" i="26"/>
  <c r="K10" i="26" s="1"/>
  <c r="L10" i="26" s="1"/>
  <c r="M10" i="26" s="1"/>
  <c r="N10" i="26" s="1"/>
  <c r="F10" i="26"/>
  <c r="G10" i="26" s="1"/>
  <c r="H10" i="26" s="1"/>
  <c r="E10" i="26"/>
  <c r="Z15" i="63"/>
  <c r="Q11" i="63"/>
  <c r="P11" i="63"/>
  <c r="P8" i="63"/>
  <c r="O15" i="57"/>
  <c r="O15" i="65"/>
  <c r="N11" i="20"/>
  <c r="P24" i="20"/>
  <c r="P22" i="20"/>
  <c r="AG95" i="79" l="1"/>
  <c r="AG100" i="79"/>
  <c r="T32" i="16"/>
  <c r="T31" i="16"/>
  <c r="I25" i="16"/>
  <c r="I24" i="16"/>
  <c r="I21" i="16"/>
  <c r="P32" i="16"/>
  <c r="P31" i="16"/>
  <c r="P39" i="16"/>
  <c r="T37" i="11"/>
  <c r="T36" i="11"/>
  <c r="E30" i="11"/>
  <c r="E31" i="11" s="1"/>
  <c r="P37" i="11"/>
  <c r="P36" i="11"/>
  <c r="S15" i="10"/>
  <c r="S14" i="10"/>
  <c r="H10" i="9"/>
  <c r="H11" i="9" s="1"/>
  <c r="H9" i="9"/>
  <c r="P17" i="9"/>
  <c r="O9" i="10"/>
  <c r="P20" i="10"/>
  <c r="P14" i="10"/>
  <c r="P32" i="58" l="1"/>
  <c r="P25" i="58" l="1"/>
  <c r="P35" i="19"/>
  <c r="O10" i="19"/>
  <c r="O9" i="19"/>
  <c r="N10" i="19"/>
  <c r="N9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P25" i="19" s="1"/>
  <c r="P19" i="19"/>
  <c r="P6" i="18"/>
  <c r="Q6" i="18" s="1"/>
  <c r="Q10" i="18" s="1"/>
  <c r="Q11" i="18" s="1"/>
  <c r="P23" i="18"/>
  <c r="P19" i="18"/>
  <c r="T14" i="15"/>
  <c r="T13" i="15"/>
  <c r="Q8" i="15"/>
  <c r="Q7" i="15"/>
  <c r="Q6" i="15"/>
  <c r="Q5" i="15"/>
  <c r="P14" i="15"/>
  <c r="P13" i="15"/>
  <c r="P20" i="15"/>
  <c r="T14" i="13"/>
  <c r="T13" i="13"/>
  <c r="N8" i="13"/>
  <c r="P19" i="13"/>
  <c r="P13" i="13"/>
  <c r="K10" i="78"/>
  <c r="F13" i="78"/>
  <c r="G13" i="78"/>
  <c r="H13" i="78"/>
  <c r="I13" i="78"/>
  <c r="J13" i="78"/>
  <c r="K13" i="78"/>
  <c r="L13" i="78"/>
  <c r="M13" i="78"/>
  <c r="N13" i="78"/>
  <c r="O13" i="78"/>
  <c r="P13" i="78"/>
  <c r="E13" i="78"/>
  <c r="L10" i="78"/>
  <c r="K9" i="78"/>
  <c r="V16" i="40"/>
  <c r="S16" i="40"/>
  <c r="L14" i="40"/>
  <c r="M14" i="40"/>
  <c r="N14" i="40"/>
  <c r="O14" i="40"/>
  <c r="P14" i="40"/>
  <c r="K14" i="40"/>
  <c r="F14" i="40"/>
  <c r="G14" i="40"/>
  <c r="H14" i="40"/>
  <c r="I14" i="40"/>
  <c r="J14" i="40"/>
  <c r="E14" i="40"/>
  <c r="Q22" i="40"/>
  <c r="U17" i="28"/>
  <c r="R17" i="28"/>
  <c r="Y31" i="5"/>
  <c r="V31" i="5"/>
  <c r="I13" i="28"/>
  <c r="J13" i="28"/>
  <c r="K13" i="28"/>
  <c r="L13" i="28"/>
  <c r="M13" i="28"/>
  <c r="N13" i="28"/>
  <c r="O13" i="28"/>
  <c r="P13" i="28"/>
  <c r="H13" i="28"/>
  <c r="F13" i="28"/>
  <c r="G13" i="28"/>
  <c r="E13" i="28"/>
  <c r="S26" i="58" l="1"/>
  <c r="Q13" i="78"/>
  <c r="Q23" i="78"/>
  <c r="Q14" i="40"/>
  <c r="Q13" i="28"/>
  <c r="J8" i="68"/>
  <c r="L9" i="68" s="1"/>
  <c r="L10" i="68" s="1"/>
  <c r="Q13" i="29"/>
  <c r="U14" i="29" s="1"/>
  <c r="H14" i="29"/>
  <c r="I14" i="29"/>
  <c r="J14" i="29"/>
  <c r="K14" i="29"/>
  <c r="L14" i="29"/>
  <c r="M14" i="29"/>
  <c r="N14" i="29"/>
  <c r="O14" i="29"/>
  <c r="P14" i="29"/>
  <c r="G14" i="29"/>
  <c r="F14" i="29"/>
  <c r="E14" i="29"/>
  <c r="U13" i="29" l="1"/>
  <c r="Q41" i="5"/>
  <c r="Q40" i="5"/>
  <c r="I31" i="5"/>
  <c r="J31" i="5"/>
  <c r="K31" i="5"/>
  <c r="L31" i="5"/>
  <c r="M31" i="5"/>
  <c r="N31" i="5"/>
  <c r="O31" i="5"/>
  <c r="P31" i="5"/>
  <c r="H31" i="5"/>
  <c r="F31" i="5"/>
  <c r="G31" i="5"/>
  <c r="E31" i="5"/>
  <c r="N22" i="5"/>
  <c r="T21" i="21"/>
  <c r="T22" i="21"/>
  <c r="P31" i="21"/>
  <c r="K24" i="21"/>
  <c r="G21" i="21"/>
  <c r="H21" i="21"/>
  <c r="I21" i="21"/>
  <c r="J21" i="21"/>
  <c r="G23" i="21"/>
  <c r="F23" i="21"/>
  <c r="K8" i="21"/>
  <c r="E21" i="21" s="1"/>
  <c r="P27" i="21"/>
  <c r="P26" i="21"/>
  <c r="P41" i="21"/>
  <c r="P40" i="21"/>
  <c r="C5" i="22"/>
  <c r="P19" i="22"/>
  <c r="P18" i="22"/>
  <c r="K10" i="22"/>
  <c r="K12" i="22" s="1"/>
  <c r="K13" i="22" s="1"/>
  <c r="Q52" i="5"/>
  <c r="Q13" i="30"/>
  <c r="Q12" i="30"/>
  <c r="P13" i="30"/>
  <c r="P12" i="30"/>
  <c r="P22" i="30"/>
  <c r="M12" i="59"/>
  <c r="M15" i="59" s="1"/>
  <c r="M16" i="59" s="1"/>
  <c r="O21" i="59"/>
  <c r="V18" i="26"/>
  <c r="O39" i="56"/>
  <c r="S33" i="56" s="1"/>
  <c r="S32" i="56"/>
  <c r="G32" i="56"/>
  <c r="H32" i="56"/>
  <c r="I32" i="56"/>
  <c r="J32" i="56"/>
  <c r="K32" i="56"/>
  <c r="L32" i="56"/>
  <c r="M32" i="56"/>
  <c r="N32" i="56"/>
  <c r="F32" i="56"/>
  <c r="G13" i="56"/>
  <c r="O33" i="56"/>
  <c r="S16" i="55"/>
  <c r="S15" i="55"/>
  <c r="M11" i="55"/>
  <c r="M8" i="55"/>
  <c r="M9" i="55"/>
  <c r="M12" i="55"/>
  <c r="O16" i="55"/>
  <c r="M8" i="54"/>
  <c r="M11" i="54" s="1"/>
  <c r="M12" i="54" s="1"/>
  <c r="O16" i="54"/>
  <c r="O16" i="53"/>
  <c r="M8" i="52"/>
  <c r="M11" i="52" s="1"/>
  <c r="M12" i="52" s="1"/>
  <c r="O16" i="52"/>
  <c r="M11" i="51"/>
  <c r="M12" i="51" s="1"/>
  <c r="M8" i="51"/>
  <c r="O16" i="51"/>
  <c r="M10" i="37"/>
  <c r="M11" i="37" s="1"/>
  <c r="M7" i="37"/>
  <c r="O15" i="37"/>
  <c r="I6" i="50"/>
  <c r="P12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P11" i="50" s="1"/>
  <c r="J6" i="66"/>
  <c r="J7" i="66" s="1"/>
  <c r="P11" i="66"/>
  <c r="Q31" i="5" l="1"/>
  <c r="D21" i="21"/>
  <c r="F21" i="21"/>
  <c r="K11" i="21"/>
  <c r="K10" i="21"/>
  <c r="T32" i="5" l="1"/>
  <c r="T31" i="5"/>
  <c r="P21" i="21"/>
  <c r="Q97" i="23" l="1"/>
  <c r="G78" i="23"/>
  <c r="H78" i="23"/>
  <c r="I78" i="23"/>
  <c r="J78" i="23"/>
  <c r="K78" i="23"/>
  <c r="L78" i="23"/>
  <c r="M78" i="23"/>
  <c r="N78" i="23"/>
  <c r="O78" i="23"/>
  <c r="P78" i="23"/>
  <c r="Q78" i="23"/>
  <c r="F78" i="23"/>
  <c r="J56" i="23"/>
  <c r="G56" i="23"/>
  <c r="I87" i="23" s="1"/>
  <c r="G50" i="23"/>
  <c r="G58" i="23"/>
  <c r="N89" i="23" s="1"/>
  <c r="G57" i="23"/>
  <c r="O88" i="23" s="1"/>
  <c r="G55" i="23"/>
  <c r="J86" i="23" s="1"/>
  <c r="G49" i="23"/>
  <c r="G48" i="23"/>
  <c r="G47" i="23"/>
  <c r="H40" i="23"/>
  <c r="K40" i="23"/>
  <c r="S12" i="14"/>
  <c r="S11" i="14"/>
  <c r="E18" i="35"/>
  <c r="F18" i="35"/>
  <c r="D18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N40" i="35"/>
  <c r="M40" i="35"/>
  <c r="L40" i="35"/>
  <c r="K40" i="35"/>
  <c r="J40" i="35"/>
  <c r="I40" i="35"/>
  <c r="H40" i="35"/>
  <c r="G40" i="35"/>
  <c r="F40" i="35"/>
  <c r="E40" i="35"/>
  <c r="D40" i="35"/>
  <c r="C40" i="35"/>
  <c r="O24" i="35"/>
  <c r="O37" i="35"/>
  <c r="S25" i="45"/>
  <c r="S24" i="45"/>
  <c r="S18" i="42"/>
  <c r="S17" i="42"/>
  <c r="H13" i="42"/>
  <c r="H12" i="42"/>
  <c r="O18" i="42"/>
  <c r="O17" i="42"/>
  <c r="S15" i="43"/>
  <c r="S14" i="43"/>
  <c r="S15" i="38"/>
  <c r="S14" i="38"/>
  <c r="T15" i="34"/>
  <c r="T14" i="34"/>
  <c r="F83" i="23" l="1"/>
  <c r="F88" i="23"/>
  <c r="N88" i="23"/>
  <c r="M88" i="23"/>
  <c r="L88" i="23"/>
  <c r="K88" i="23"/>
  <c r="J89" i="23"/>
  <c r="I89" i="23"/>
  <c r="F89" i="23"/>
  <c r="H88" i="23"/>
  <c r="G88" i="23"/>
  <c r="K89" i="23"/>
  <c r="M86" i="23"/>
  <c r="Q89" i="23"/>
  <c r="Q86" i="23"/>
  <c r="M89" i="23"/>
  <c r="J88" i="23"/>
  <c r="L89" i="23"/>
  <c r="I88" i="23"/>
  <c r="H89" i="23"/>
  <c r="P89" i="23"/>
  <c r="N86" i="23"/>
  <c r="Q88" i="23"/>
  <c r="P86" i="23"/>
  <c r="O86" i="23"/>
  <c r="G89" i="23"/>
  <c r="L86" i="23"/>
  <c r="P88" i="23"/>
  <c r="O89" i="23"/>
  <c r="F86" i="23"/>
  <c r="K87" i="23"/>
  <c r="G87" i="23"/>
  <c r="F87" i="23"/>
  <c r="K86" i="23"/>
  <c r="L87" i="23"/>
  <c r="J87" i="23"/>
  <c r="H87" i="23"/>
  <c r="Q87" i="23"/>
  <c r="P87" i="23"/>
  <c r="I86" i="23"/>
  <c r="O87" i="23"/>
  <c r="H86" i="23"/>
  <c r="N87" i="23"/>
  <c r="G86" i="23"/>
  <c r="M87" i="23"/>
  <c r="R78" i="23"/>
  <c r="R74" i="23"/>
  <c r="R82" i="23"/>
  <c r="G59" i="23"/>
  <c r="G52" i="23"/>
  <c r="O23" i="35"/>
  <c r="O36" i="35"/>
  <c r="O38" i="35" s="1"/>
  <c r="O19" i="42"/>
  <c r="J90" i="23" l="1"/>
  <c r="L90" i="23"/>
  <c r="M90" i="23"/>
  <c r="I90" i="23"/>
  <c r="I70" i="23" s="1"/>
  <c r="J70" i="23"/>
  <c r="L70" i="23"/>
  <c r="R87" i="23"/>
  <c r="N90" i="23"/>
  <c r="N70" i="23" s="1"/>
  <c r="H90" i="23"/>
  <c r="H70" i="23" s="1"/>
  <c r="R88" i="23"/>
  <c r="Q90" i="23"/>
  <c r="Q70" i="23" s="1"/>
  <c r="M70" i="23"/>
  <c r="S23" i="35"/>
  <c r="S24" i="35"/>
  <c r="G90" i="23"/>
  <c r="G70" i="23" s="1"/>
  <c r="F90" i="23"/>
  <c r="F70" i="23" s="1"/>
  <c r="R89" i="23"/>
  <c r="R86" i="23"/>
  <c r="O90" i="23"/>
  <c r="O70" i="23" s="1"/>
  <c r="P90" i="23"/>
  <c r="P70" i="23" s="1"/>
  <c r="K90" i="23"/>
  <c r="K70" i="23" s="1"/>
  <c r="G60" i="23"/>
  <c r="G62" i="23"/>
  <c r="G53" i="23"/>
  <c r="S16" i="12"/>
  <c r="S15" i="12"/>
  <c r="R16" i="61"/>
  <c r="R15" i="61"/>
  <c r="S14" i="60"/>
  <c r="S13" i="60"/>
  <c r="S17" i="36"/>
  <c r="S16" i="36"/>
  <c r="S18" i="12"/>
  <c r="S17" i="12"/>
  <c r="P20" i="62"/>
  <c r="P14" i="60"/>
  <c r="P15" i="60" s="1"/>
  <c r="P13" i="60"/>
  <c r="P22" i="60"/>
  <c r="P23" i="60" s="1"/>
  <c r="L15" i="61"/>
  <c r="L26" i="61"/>
  <c r="P16" i="61"/>
  <c r="P15" i="61"/>
  <c r="O33" i="71"/>
  <c r="P21" i="61"/>
  <c r="O27" i="71"/>
  <c r="M23" i="71"/>
  <c r="M24" i="71" s="1"/>
  <c r="P14" i="62"/>
  <c r="S15" i="62" s="1"/>
  <c r="Q8" i="12"/>
  <c r="R70" i="23" l="1"/>
  <c r="G63" i="23"/>
  <c r="R69" i="23"/>
  <c r="R90" i="23"/>
  <c r="S14" i="62"/>
  <c r="Q29" i="71"/>
  <c r="N5" i="12"/>
  <c r="N6" i="12"/>
  <c r="N7" i="12"/>
  <c r="N8" i="12"/>
  <c r="N9" i="12"/>
  <c r="O10" i="12" s="1"/>
  <c r="N10" i="12"/>
  <c r="N4" i="12"/>
  <c r="O8" i="12"/>
  <c r="O17" i="12"/>
  <c r="O15" i="12"/>
  <c r="V70" i="23" l="1"/>
  <c r="H6" i="17"/>
  <c r="P17" i="17"/>
  <c r="P16" i="17"/>
  <c r="O10" i="17"/>
  <c r="P10" i="17" s="1"/>
  <c r="N10" i="17"/>
  <c r="M10" i="17"/>
  <c r="L10" i="17"/>
  <c r="K10" i="17"/>
  <c r="J10" i="17"/>
  <c r="I10" i="17"/>
  <c r="H10" i="17"/>
  <c r="G10" i="17"/>
  <c r="F10" i="17"/>
  <c r="E10" i="17"/>
  <c r="D10" i="17"/>
  <c r="E8" i="14"/>
  <c r="E7" i="14"/>
  <c r="E6" i="14"/>
  <c r="O16" i="14"/>
  <c r="D16" i="14"/>
  <c r="E16" i="14"/>
  <c r="F16" i="14"/>
  <c r="G16" i="14"/>
  <c r="H16" i="14"/>
  <c r="I16" i="14"/>
  <c r="J16" i="14"/>
  <c r="K16" i="14"/>
  <c r="L16" i="14"/>
  <c r="M16" i="14"/>
  <c r="N16" i="14"/>
  <c r="C16" i="14"/>
  <c r="O11" i="14"/>
  <c r="O9" i="29"/>
  <c r="O10" i="29" s="1"/>
  <c r="Q14" i="29"/>
  <c r="Q21" i="29"/>
  <c r="I9" i="35"/>
  <c r="F28" i="35" s="1"/>
  <c r="I10" i="35"/>
  <c r="I8" i="35"/>
  <c r="O30" i="35"/>
  <c r="L3" i="35"/>
  <c r="L4" i="35"/>
  <c r="N17" i="45"/>
  <c r="C2" i="45"/>
  <c r="B10" i="45"/>
  <c r="B8" i="45"/>
  <c r="B9" i="45"/>
  <c r="O30" i="45"/>
  <c r="O28" i="35" l="1"/>
  <c r="S30" i="35" s="1"/>
  <c r="O31" i="35" l="1"/>
  <c r="O15" i="43"/>
  <c r="N7" i="43"/>
  <c r="N10" i="43" s="1"/>
  <c r="N11" i="43" s="1"/>
  <c r="M25" i="34"/>
  <c r="N25" i="34"/>
  <c r="M24" i="34"/>
  <c r="N24" i="34"/>
  <c r="L24" i="34"/>
  <c r="L25" i="34" s="1"/>
  <c r="N10" i="38"/>
  <c r="N11" i="38" s="1"/>
  <c r="N7" i="38"/>
  <c r="O15" i="38"/>
  <c r="D16" i="34"/>
  <c r="D17" i="34" s="1"/>
  <c r="E16" i="34"/>
  <c r="E17" i="34" s="1"/>
  <c r="F16" i="34"/>
  <c r="G16" i="34"/>
  <c r="H16" i="34"/>
  <c r="I16" i="34"/>
  <c r="I17" i="34" s="1"/>
  <c r="J16" i="34"/>
  <c r="K16" i="34"/>
  <c r="L16" i="34"/>
  <c r="M16" i="34"/>
  <c r="N16" i="34"/>
  <c r="C16" i="34"/>
  <c r="C17" i="34" s="1"/>
  <c r="J18" i="34"/>
  <c r="K18" i="34"/>
  <c r="L18" i="34" s="1"/>
  <c r="M18" i="34" s="1"/>
  <c r="N18" i="34" s="1"/>
  <c r="E18" i="34"/>
  <c r="F18" i="34" s="1"/>
  <c r="G18" i="34" s="1"/>
  <c r="H18" i="34" s="1"/>
  <c r="I18" i="34" s="1"/>
  <c r="D18" i="34"/>
  <c r="C18" i="34"/>
  <c r="N26" i="34"/>
  <c r="M26" i="34"/>
  <c r="L26" i="34"/>
  <c r="Q26" i="34"/>
  <c r="O26" i="34"/>
  <c r="K27" i="34"/>
  <c r="F17" i="34"/>
  <c r="G17" i="34"/>
  <c r="H17" i="34"/>
  <c r="J17" i="34"/>
  <c r="K17" i="34"/>
  <c r="L17" i="34"/>
  <c r="M17" i="34"/>
  <c r="N17" i="34"/>
  <c r="O14" i="34"/>
  <c r="N9" i="34"/>
  <c r="N7" i="34"/>
  <c r="D25" i="34"/>
  <c r="E25" i="34"/>
  <c r="F25" i="34"/>
  <c r="G25" i="34"/>
  <c r="H25" i="34"/>
  <c r="I25" i="34"/>
  <c r="J25" i="34"/>
  <c r="K25" i="34"/>
  <c r="C25" i="34"/>
  <c r="N13" i="36"/>
  <c r="N9" i="36"/>
  <c r="N10" i="36" s="1"/>
  <c r="O17" i="36"/>
  <c r="N7" i="36"/>
  <c r="N10" i="24"/>
  <c r="N9" i="24"/>
  <c r="K4" i="24"/>
  <c r="K3" i="24"/>
  <c r="P13" i="24"/>
  <c r="P12" i="24"/>
  <c r="P19" i="24"/>
  <c r="O17" i="34" l="1"/>
  <c r="O19" i="34" s="1"/>
  <c r="O25" i="34"/>
  <c r="F41" i="26"/>
  <c r="L35" i="26"/>
  <c r="F21" i="16"/>
  <c r="F24" i="16" s="1"/>
  <c r="O94" i="21"/>
  <c r="N94" i="21"/>
  <c r="M94" i="21"/>
  <c r="L94" i="21"/>
  <c r="K94" i="21"/>
  <c r="J94" i="21"/>
  <c r="I94" i="21"/>
  <c r="H94" i="21"/>
  <c r="G94" i="21"/>
  <c r="F94" i="21"/>
  <c r="E94" i="21"/>
  <c r="D94" i="21"/>
  <c r="D88" i="21"/>
  <c r="E86" i="21"/>
  <c r="F86" i="21"/>
  <c r="G86" i="21"/>
  <c r="H86" i="21"/>
  <c r="I86" i="21"/>
  <c r="J86" i="21"/>
  <c r="K86" i="21"/>
  <c r="L86" i="21"/>
  <c r="M86" i="21"/>
  <c r="N86" i="21"/>
  <c r="O86" i="21"/>
  <c r="D86" i="21"/>
  <c r="P17" i="50"/>
  <c r="C124" i="75"/>
  <c r="B124" i="75"/>
  <c r="AB123" i="75"/>
  <c r="R132" i="75"/>
  <c r="T132" i="75"/>
  <c r="R133" i="75"/>
  <c r="T133" i="75"/>
  <c r="T134" i="75"/>
  <c r="G138" i="75"/>
  <c r="G139" i="75"/>
  <c r="K139" i="75"/>
  <c r="L139" i="75" s="1"/>
  <c r="G140" i="75"/>
  <c r="G141" i="75"/>
  <c r="G142" i="75"/>
  <c r="G143" i="75"/>
  <c r="G144" i="75"/>
  <c r="AA144" i="75"/>
  <c r="AA146" i="75" s="1"/>
  <c r="AB144" i="75"/>
  <c r="AB146" i="75" s="1"/>
  <c r="AC144" i="75"/>
  <c r="AC146" i="75" s="1"/>
  <c r="AD144" i="75"/>
  <c r="AD146" i="75" s="1"/>
  <c r="AE144" i="75"/>
  <c r="AF144" i="75"/>
  <c r="AF146" i="75" s="1"/>
  <c r="AG144" i="75"/>
  <c r="AG146" i="75" s="1"/>
  <c r="AH144" i="75"/>
  <c r="AI144" i="75"/>
  <c r="AJ144" i="75"/>
  <c r="AK144" i="75"/>
  <c r="AL144" i="75"/>
  <c r="E145" i="75"/>
  <c r="F145" i="75"/>
  <c r="G145" i="75"/>
  <c r="H145" i="75" s="1"/>
  <c r="L145" i="75" s="1"/>
  <c r="AB145" i="75"/>
  <c r="AC145" i="75"/>
  <c r="AD145" i="75"/>
  <c r="AE145" i="75"/>
  <c r="AF145" i="75"/>
  <c r="AG145" i="75"/>
  <c r="AH145" i="75"/>
  <c r="AI145" i="75"/>
  <c r="AJ145" i="75"/>
  <c r="AK145" i="75"/>
  <c r="AL145" i="75"/>
  <c r="G146" i="75"/>
  <c r="H146" i="75"/>
  <c r="AE146" i="75"/>
  <c r="AH146" i="75"/>
  <c r="AI146" i="75"/>
  <c r="AJ146" i="75"/>
  <c r="AK146" i="75"/>
  <c r="AL146" i="75"/>
  <c r="V147" i="75"/>
  <c r="AA166" i="75"/>
  <c r="AB166" i="75"/>
  <c r="AC166" i="75"/>
  <c r="AM166" i="75" s="1"/>
  <c r="AD166" i="75"/>
  <c r="AE166" i="75"/>
  <c r="AF166" i="75"/>
  <c r="AG166" i="75"/>
  <c r="AH166" i="75"/>
  <c r="AI166" i="75"/>
  <c r="AJ166" i="75"/>
  <c r="AK166" i="75"/>
  <c r="AL166" i="75"/>
  <c r="V112" i="75"/>
  <c r="V113" i="75"/>
  <c r="V114" i="75"/>
  <c r="AA114" i="75"/>
  <c r="AA126" i="75" s="1"/>
  <c r="AB114" i="75"/>
  <c r="AC114" i="75"/>
  <c r="AD114" i="75"/>
  <c r="AM114" i="75" s="1"/>
  <c r="AE114" i="75"/>
  <c r="AE128" i="75" s="1"/>
  <c r="AF114" i="75"/>
  <c r="AF126" i="75" s="1"/>
  <c r="AG114" i="75"/>
  <c r="AH114" i="75"/>
  <c r="AI114" i="75"/>
  <c r="AJ114" i="75"/>
  <c r="AK114" i="75"/>
  <c r="AK126" i="75" s="1"/>
  <c r="AL114" i="75"/>
  <c r="V115" i="75"/>
  <c r="AA115" i="75"/>
  <c r="AB115" i="75"/>
  <c r="AM115" i="75" s="1"/>
  <c r="AC115" i="75"/>
  <c r="AC126" i="75" s="1"/>
  <c r="AD115" i="75"/>
  <c r="AD126" i="75" s="1"/>
  <c r="AE115" i="75"/>
  <c r="AF115" i="75"/>
  <c r="AG115" i="75"/>
  <c r="AH115" i="75"/>
  <c r="AI115" i="75"/>
  <c r="AI126" i="75" s="1"/>
  <c r="AJ115" i="75"/>
  <c r="AK115" i="75"/>
  <c r="AL115" i="75"/>
  <c r="AL126" i="75" s="1"/>
  <c r="V116" i="75"/>
  <c r="AA116" i="75"/>
  <c r="AB116" i="75"/>
  <c r="AB128" i="75" s="1"/>
  <c r="AC116" i="75"/>
  <c r="AD116" i="75"/>
  <c r="AE116" i="75"/>
  <c r="AF116" i="75"/>
  <c r="AG116" i="75"/>
  <c r="AH116" i="75"/>
  <c r="AI116" i="75"/>
  <c r="AI128" i="75" s="1"/>
  <c r="AJ116" i="75"/>
  <c r="AJ128" i="75" s="1"/>
  <c r="AK116" i="75"/>
  <c r="AL116" i="75"/>
  <c r="AL128" i="75" s="1"/>
  <c r="V117" i="75"/>
  <c r="AA117" i="75"/>
  <c r="AB117" i="75"/>
  <c r="AC117" i="75"/>
  <c r="AD117" i="75"/>
  <c r="AE117" i="75"/>
  <c r="AM117" i="75" s="1"/>
  <c r="AF117" i="75"/>
  <c r="AG117" i="75"/>
  <c r="AH117" i="75"/>
  <c r="AH126" i="75" s="1"/>
  <c r="AI117" i="75"/>
  <c r="AJ117" i="75"/>
  <c r="AK117" i="75"/>
  <c r="AL117" i="75"/>
  <c r="V118" i="75"/>
  <c r="AA118" i="75"/>
  <c r="AB118" i="75"/>
  <c r="AC118" i="75"/>
  <c r="AM118" i="75" s="1"/>
  <c r="AD118" i="75"/>
  <c r="AE118" i="75"/>
  <c r="AF118" i="75"/>
  <c r="AG118" i="75"/>
  <c r="AH118" i="75"/>
  <c r="AI118" i="75"/>
  <c r="AJ118" i="75"/>
  <c r="AJ126" i="75" s="1"/>
  <c r="AK118" i="75"/>
  <c r="AL118" i="75"/>
  <c r="V119" i="75"/>
  <c r="AA119" i="75"/>
  <c r="AB119" i="75"/>
  <c r="AC119" i="75"/>
  <c r="AM119" i="75" s="1"/>
  <c r="AD119" i="75"/>
  <c r="AE119" i="75"/>
  <c r="AF119" i="75"/>
  <c r="AG119" i="75"/>
  <c r="AH119" i="75"/>
  <c r="AI119" i="75"/>
  <c r="AJ119" i="75"/>
  <c r="AK119" i="75"/>
  <c r="AL119" i="75"/>
  <c r="V120" i="75"/>
  <c r="AA120" i="75"/>
  <c r="AB120" i="75"/>
  <c r="AC120" i="75"/>
  <c r="AD120" i="75"/>
  <c r="AE120" i="75"/>
  <c r="AF120" i="75"/>
  <c r="AM120" i="75" s="1"/>
  <c r="AG120" i="75"/>
  <c r="AH120" i="75"/>
  <c r="AI120" i="75"/>
  <c r="AJ120" i="75"/>
  <c r="AK120" i="75"/>
  <c r="AL120" i="75"/>
  <c r="V121" i="75"/>
  <c r="AA121" i="75"/>
  <c r="AB121" i="75"/>
  <c r="AM121" i="75" s="1"/>
  <c r="AC121" i="75"/>
  <c r="AD121" i="75"/>
  <c r="AE121" i="75"/>
  <c r="AF121" i="75"/>
  <c r="AG121" i="75"/>
  <c r="AH121" i="75"/>
  <c r="AI121" i="75"/>
  <c r="AJ121" i="75"/>
  <c r="AK121" i="75"/>
  <c r="AL121" i="75"/>
  <c r="V122" i="75"/>
  <c r="AA122" i="75"/>
  <c r="AB122" i="75"/>
  <c r="AM122" i="75" s="1"/>
  <c r="AC122" i="75"/>
  <c r="AD122" i="75"/>
  <c r="AE122" i="75"/>
  <c r="AF122" i="75"/>
  <c r="AG122" i="75"/>
  <c r="AH122" i="75"/>
  <c r="AI122" i="75"/>
  <c r="AJ122" i="75"/>
  <c r="AK122" i="75"/>
  <c r="AL122" i="75"/>
  <c r="D123" i="75"/>
  <c r="V123" i="75" s="1"/>
  <c r="AA123" i="75"/>
  <c r="AC123" i="75"/>
  <c r="AD123" i="75"/>
  <c r="AE123" i="75"/>
  <c r="AF123" i="75"/>
  <c r="AG123" i="75"/>
  <c r="AM123" i="75" s="1"/>
  <c r="AH123" i="75"/>
  <c r="AI123" i="75"/>
  <c r="AJ123" i="75"/>
  <c r="AK123" i="75"/>
  <c r="AL123" i="75"/>
  <c r="AE126" i="75"/>
  <c r="AG126" i="75"/>
  <c r="AA128" i="75"/>
  <c r="AC128" i="75"/>
  <c r="AD128" i="75"/>
  <c r="AG128" i="75"/>
  <c r="AK128" i="75"/>
  <c r="J129" i="75"/>
  <c r="K129" i="75"/>
  <c r="L129" i="75"/>
  <c r="M129" i="75"/>
  <c r="N129" i="75"/>
  <c r="O129" i="75"/>
  <c r="P129" i="75"/>
  <c r="Q129" i="75"/>
  <c r="R129" i="75"/>
  <c r="S129" i="75"/>
  <c r="T129" i="75"/>
  <c r="U129" i="75"/>
  <c r="AO129" i="75"/>
  <c r="AP127" i="75" s="1"/>
  <c r="AP129" i="75"/>
  <c r="V105" i="75"/>
  <c r="V92" i="75"/>
  <c r="R93" i="75"/>
  <c r="S93" i="75"/>
  <c r="T93" i="75"/>
  <c r="J94" i="75"/>
  <c r="V94" i="75" s="1"/>
  <c r="K94" i="75"/>
  <c r="L94" i="75"/>
  <c r="M94" i="75"/>
  <c r="N94" i="75"/>
  <c r="O94" i="75"/>
  <c r="P94" i="75"/>
  <c r="Q94" i="75"/>
  <c r="R94" i="75"/>
  <c r="S94" i="75"/>
  <c r="T94" i="75"/>
  <c r="U94" i="75"/>
  <c r="J95" i="75"/>
  <c r="K95" i="75"/>
  <c r="L95" i="75"/>
  <c r="M95" i="75"/>
  <c r="V95" i="75" s="1"/>
  <c r="N95" i="75"/>
  <c r="O95" i="75"/>
  <c r="P95" i="75"/>
  <c r="Q95" i="75"/>
  <c r="R95" i="75"/>
  <c r="L96" i="75"/>
  <c r="M96" i="75"/>
  <c r="N96" i="75"/>
  <c r="O96" i="75"/>
  <c r="P96" i="75"/>
  <c r="Q96" i="75"/>
  <c r="R96" i="75"/>
  <c r="S96" i="75"/>
  <c r="T96" i="75"/>
  <c r="U96" i="75"/>
  <c r="V96" i="75"/>
  <c r="T86" i="75"/>
  <c r="V87" i="75"/>
  <c r="V71" i="75"/>
  <c r="P86" i="75" s="1"/>
  <c r="V72" i="75"/>
  <c r="V73" i="75"/>
  <c r="V74" i="75"/>
  <c r="V75" i="75"/>
  <c r="V76" i="75"/>
  <c r="V77" i="75"/>
  <c r="V78" i="75"/>
  <c r="R86" i="75" s="1"/>
  <c r="V79" i="75"/>
  <c r="V80" i="75"/>
  <c r="V81" i="75"/>
  <c r="D82" i="75"/>
  <c r="V82" i="75"/>
  <c r="V65" i="75"/>
  <c r="V52" i="75"/>
  <c r="O53" i="75"/>
  <c r="O57" i="75" s="1"/>
  <c r="R53" i="75"/>
  <c r="R97" i="75" s="1"/>
  <c r="J54" i="75"/>
  <c r="J93" i="75" s="1"/>
  <c r="K54" i="75"/>
  <c r="K53" i="75" s="1"/>
  <c r="L54" i="75"/>
  <c r="L53" i="75" s="1"/>
  <c r="M54" i="75"/>
  <c r="M93" i="75" s="1"/>
  <c r="N54" i="75"/>
  <c r="N53" i="75" s="1"/>
  <c r="O54" i="75"/>
  <c r="P54" i="75"/>
  <c r="Q54" i="75"/>
  <c r="Q93" i="75" s="1"/>
  <c r="R54" i="75"/>
  <c r="S54" i="75"/>
  <c r="S53" i="75" s="1"/>
  <c r="T54" i="75"/>
  <c r="T53" i="75" s="1"/>
  <c r="U54" i="75"/>
  <c r="U93" i="75" s="1"/>
  <c r="J55" i="75"/>
  <c r="V55" i="75" s="1"/>
  <c r="K55" i="75"/>
  <c r="L55" i="75"/>
  <c r="M55" i="75"/>
  <c r="M53" i="75" s="1"/>
  <c r="N55" i="75"/>
  <c r="O55" i="75"/>
  <c r="P55" i="75"/>
  <c r="P93" i="75" s="1"/>
  <c r="Q55" i="75"/>
  <c r="R55" i="75"/>
  <c r="L56" i="75"/>
  <c r="V56" i="75" s="1"/>
  <c r="M56" i="75"/>
  <c r="N56" i="75"/>
  <c r="O56" i="75"/>
  <c r="O93" i="75" s="1"/>
  <c r="P56" i="75"/>
  <c r="Q56" i="75"/>
  <c r="R56" i="75"/>
  <c r="S56" i="75"/>
  <c r="T56" i="75"/>
  <c r="U56" i="75"/>
  <c r="O46" i="75"/>
  <c r="V47" i="75"/>
  <c r="V31" i="75"/>
  <c r="K46" i="75" s="1"/>
  <c r="V32" i="75"/>
  <c r="L46" i="75" s="1"/>
  <c r="V33" i="75"/>
  <c r="V43" i="75" s="1"/>
  <c r="V34" i="75"/>
  <c r="V35" i="75"/>
  <c r="V36" i="75"/>
  <c r="V37" i="75"/>
  <c r="V38" i="75"/>
  <c r="V39" i="75"/>
  <c r="V40" i="75"/>
  <c r="V41" i="75"/>
  <c r="D42" i="75"/>
  <c r="V42" i="75"/>
  <c r="V11" i="75"/>
  <c r="T24" i="75" s="1"/>
  <c r="V12" i="75"/>
  <c r="V13" i="75"/>
  <c r="V23" i="75" s="1"/>
  <c r="V14" i="75"/>
  <c r="V15" i="75"/>
  <c r="V16" i="75"/>
  <c r="V17" i="75"/>
  <c r="V18" i="75"/>
  <c r="V19" i="75"/>
  <c r="V20" i="75"/>
  <c r="V21" i="75"/>
  <c r="D22" i="75"/>
  <c r="V22" i="75"/>
  <c r="J24" i="75"/>
  <c r="V25" i="75"/>
  <c r="F5" i="75"/>
  <c r="J127" i="5"/>
  <c r="J125" i="5" s="1"/>
  <c r="K127" i="5"/>
  <c r="K125" i="5" s="1"/>
  <c r="L127" i="5"/>
  <c r="L125" i="5" s="1"/>
  <c r="M127" i="5"/>
  <c r="M125" i="5" s="1"/>
  <c r="N127" i="5"/>
  <c r="N125" i="5" s="1"/>
  <c r="O127" i="5"/>
  <c r="O125" i="5" s="1"/>
  <c r="P127" i="5"/>
  <c r="P125" i="5" s="1"/>
  <c r="Q127" i="5"/>
  <c r="Q125" i="5" s="1"/>
  <c r="I127" i="5"/>
  <c r="I125" i="5" s="1"/>
  <c r="G126" i="5"/>
  <c r="G125" i="5" s="1"/>
  <c r="H126" i="5"/>
  <c r="H125" i="5" s="1"/>
  <c r="F126" i="5"/>
  <c r="F125" i="5" s="1"/>
  <c r="F119" i="5"/>
  <c r="G119" i="5"/>
  <c r="H119" i="5"/>
  <c r="I119" i="5"/>
  <c r="J119" i="5"/>
  <c r="K119" i="5"/>
  <c r="L119" i="5"/>
  <c r="M119" i="5"/>
  <c r="N119" i="5"/>
  <c r="O119" i="5"/>
  <c r="P119" i="5"/>
  <c r="Q119" i="5"/>
  <c r="AL145" i="64"/>
  <c r="AB123" i="64"/>
  <c r="AB166" i="64"/>
  <c r="AC166" i="64"/>
  <c r="AD166" i="64"/>
  <c r="AE166" i="64"/>
  <c r="AF166" i="64"/>
  <c r="AG166" i="64"/>
  <c r="AM166" i="64" s="1"/>
  <c r="AH166" i="64"/>
  <c r="AI166" i="64"/>
  <c r="AJ166" i="64"/>
  <c r="AK166" i="64"/>
  <c r="AL166" i="64"/>
  <c r="AA166" i="64"/>
  <c r="AM145" i="64"/>
  <c r="AB146" i="64"/>
  <c r="AC146" i="64"/>
  <c r="AD146" i="64"/>
  <c r="AE146" i="64"/>
  <c r="AF146" i="64"/>
  <c r="AI146" i="64"/>
  <c r="AJ146" i="64"/>
  <c r="AL146" i="64"/>
  <c r="AA146" i="64"/>
  <c r="AC145" i="64"/>
  <c r="AD145" i="64"/>
  <c r="AE145" i="64"/>
  <c r="AF145" i="64"/>
  <c r="AG145" i="64"/>
  <c r="AG146" i="64" s="1"/>
  <c r="AH145" i="64"/>
  <c r="AH146" i="64" s="1"/>
  <c r="AI145" i="64"/>
  <c r="AJ145" i="64"/>
  <c r="AK145" i="64"/>
  <c r="AK146" i="64" s="1"/>
  <c r="AB145" i="64"/>
  <c r="V147" i="64"/>
  <c r="G111" i="5"/>
  <c r="H111" i="5"/>
  <c r="I111" i="5"/>
  <c r="J111" i="5"/>
  <c r="K111" i="5"/>
  <c r="L111" i="5"/>
  <c r="M111" i="5"/>
  <c r="N111" i="5"/>
  <c r="O111" i="5"/>
  <c r="P111" i="5"/>
  <c r="Q111" i="5"/>
  <c r="F111" i="5"/>
  <c r="P86" i="21" l="1"/>
  <c r="P92" i="21" s="1"/>
  <c r="P94" i="21"/>
  <c r="R119" i="5"/>
  <c r="Q25" i="34"/>
  <c r="K97" i="75"/>
  <c r="K57" i="75"/>
  <c r="T97" i="75"/>
  <c r="T57" i="75"/>
  <c r="S97" i="75"/>
  <c r="S57" i="75"/>
  <c r="V124" i="75"/>
  <c r="AM146" i="75"/>
  <c r="L57" i="75"/>
  <c r="L97" i="75"/>
  <c r="R125" i="5"/>
  <c r="N57" i="75"/>
  <c r="N97" i="75"/>
  <c r="M57" i="75"/>
  <c r="M97" i="75"/>
  <c r="J53" i="75"/>
  <c r="AB126" i="75"/>
  <c r="AM127" i="75" s="1"/>
  <c r="M46" i="75"/>
  <c r="S24" i="75"/>
  <c r="O86" i="75"/>
  <c r="P24" i="75"/>
  <c r="U46" i="75"/>
  <c r="U53" i="75"/>
  <c r="N86" i="75"/>
  <c r="O97" i="75"/>
  <c r="N93" i="75"/>
  <c r="O24" i="75"/>
  <c r="T46" i="75"/>
  <c r="M86" i="75"/>
  <c r="AM144" i="75"/>
  <c r="AM145" i="75" s="1"/>
  <c r="R24" i="75"/>
  <c r="Q24" i="75"/>
  <c r="J46" i="75"/>
  <c r="N24" i="75"/>
  <c r="S46" i="75"/>
  <c r="V83" i="75"/>
  <c r="L86" i="75"/>
  <c r="L93" i="75"/>
  <c r="AH128" i="75"/>
  <c r="M125" i="75"/>
  <c r="M24" i="75"/>
  <c r="R46" i="75"/>
  <c r="K93" i="75"/>
  <c r="L24" i="75"/>
  <c r="Q46" i="75"/>
  <c r="R57" i="75"/>
  <c r="Q53" i="75"/>
  <c r="J86" i="75"/>
  <c r="AF128" i="75"/>
  <c r="K86" i="75"/>
  <c r="K24" i="75"/>
  <c r="P46" i="75"/>
  <c r="P53" i="75"/>
  <c r="U86" i="75"/>
  <c r="U24" i="75"/>
  <c r="N46" i="75"/>
  <c r="S86" i="75"/>
  <c r="AM116" i="75"/>
  <c r="AM124" i="75" s="1"/>
  <c r="Q86" i="75"/>
  <c r="V54" i="75"/>
  <c r="AM146" i="64"/>
  <c r="R111" i="5"/>
  <c r="W124" i="75" l="1"/>
  <c r="V125" i="75"/>
  <c r="P57" i="75"/>
  <c r="P97" i="75"/>
  <c r="J97" i="75"/>
  <c r="J57" i="75"/>
  <c r="L127" i="75"/>
  <c r="U128" i="75"/>
  <c r="U130" i="75" s="1"/>
  <c r="P127" i="75"/>
  <c r="M127" i="75"/>
  <c r="J128" i="75"/>
  <c r="J130" i="75" s="1"/>
  <c r="V130" i="75" s="1"/>
  <c r="M128" i="75"/>
  <c r="M130" i="75" s="1"/>
  <c r="N127" i="75"/>
  <c r="K128" i="75"/>
  <c r="K130" i="75" s="1"/>
  <c r="O127" i="75"/>
  <c r="L128" i="75"/>
  <c r="L130" i="75" s="1"/>
  <c r="Q127" i="75"/>
  <c r="N128" i="75"/>
  <c r="N130" i="75" s="1"/>
  <c r="R127" i="75"/>
  <c r="O128" i="75"/>
  <c r="O130" i="75" s="1"/>
  <c r="S127" i="75"/>
  <c r="P128" i="75"/>
  <c r="P130" i="75" s="1"/>
  <c r="T127" i="75"/>
  <c r="Q128" i="75"/>
  <c r="Q130" i="75" s="1"/>
  <c r="U127" i="75"/>
  <c r="R128" i="75"/>
  <c r="R130" i="75" s="1"/>
  <c r="J127" i="75"/>
  <c r="S128" i="75"/>
  <c r="S130" i="75" s="1"/>
  <c r="K127" i="75"/>
  <c r="T128" i="75"/>
  <c r="T130" i="75" s="1"/>
  <c r="V93" i="75"/>
  <c r="V53" i="75"/>
  <c r="Q97" i="75"/>
  <c r="Q57" i="75"/>
  <c r="U97" i="75"/>
  <c r="U57" i="75"/>
  <c r="K10" i="19"/>
  <c r="K15" i="19" s="1"/>
  <c r="K16" i="19" s="1"/>
  <c r="F10" i="19"/>
  <c r="L24" i="10"/>
  <c r="N36" i="58"/>
  <c r="G15" i="58"/>
  <c r="AB144" i="64"/>
  <c r="AC144" i="64"/>
  <c r="AD144" i="64"/>
  <c r="AE144" i="64"/>
  <c r="AF144" i="64"/>
  <c r="AG144" i="64"/>
  <c r="AH144" i="64"/>
  <c r="AI144" i="64"/>
  <c r="AJ144" i="64"/>
  <c r="AK144" i="64"/>
  <c r="AL144" i="64"/>
  <c r="AA144" i="64"/>
  <c r="AM144" i="64" s="1"/>
  <c r="T134" i="64"/>
  <c r="T133" i="64"/>
  <c r="T132" i="64"/>
  <c r="R133" i="64"/>
  <c r="R132" i="64"/>
  <c r="L139" i="64"/>
  <c r="K139" i="64"/>
  <c r="E145" i="64"/>
  <c r="F145" i="64"/>
  <c r="G139" i="64"/>
  <c r="G140" i="64"/>
  <c r="G141" i="64"/>
  <c r="G142" i="64"/>
  <c r="G143" i="64"/>
  <c r="G144" i="64"/>
  <c r="G138" i="64"/>
  <c r="G145" i="64" s="1"/>
  <c r="C12" i="12"/>
  <c r="AA50" i="23"/>
  <c r="AA55" i="23"/>
  <c r="AA57" i="23"/>
  <c r="AA58" i="23"/>
  <c r="Y48" i="23"/>
  <c r="AA48" i="23" s="1"/>
  <c r="AA52" i="23" s="1"/>
  <c r="G73" i="20"/>
  <c r="L66" i="20"/>
  <c r="L67" i="20"/>
  <c r="E68" i="20"/>
  <c r="E69" i="20" s="1"/>
  <c r="G72" i="20" s="1"/>
  <c r="C64" i="20"/>
  <c r="G64" i="20" s="1"/>
  <c r="G68" i="20" s="1"/>
  <c r="G69" i="20" s="1"/>
  <c r="K64" i="20"/>
  <c r="L64" i="20" s="1"/>
  <c r="M66" i="20" s="1"/>
  <c r="AB126" i="64"/>
  <c r="AC126" i="64"/>
  <c r="AD126" i="64"/>
  <c r="AE126" i="64"/>
  <c r="AF126" i="64"/>
  <c r="AG126" i="64"/>
  <c r="AH126" i="64"/>
  <c r="AI126" i="64"/>
  <c r="AJ126" i="64"/>
  <c r="AK126" i="64"/>
  <c r="AL126" i="64"/>
  <c r="AA126" i="64"/>
  <c r="AM127" i="64" s="1"/>
  <c r="N7" i="9"/>
  <c r="E51" i="18"/>
  <c r="E55" i="18" s="1"/>
  <c r="E56" i="18" s="1"/>
  <c r="G51" i="18"/>
  <c r="G55" i="18" s="1"/>
  <c r="G56" i="18" s="1"/>
  <c r="K51" i="18"/>
  <c r="L51" i="18" s="1"/>
  <c r="L55" i="18" s="1"/>
  <c r="L56" i="18" s="1"/>
  <c r="L74" i="63"/>
  <c r="F75" i="63"/>
  <c r="C67" i="63"/>
  <c r="L67" i="63"/>
  <c r="L71" i="63" s="1"/>
  <c r="L68" i="63"/>
  <c r="L69" i="63"/>
  <c r="L70" i="63"/>
  <c r="L59" i="63"/>
  <c r="L63" i="63" s="1"/>
  <c r="L60" i="63"/>
  <c r="L61" i="63"/>
  <c r="O64" i="63"/>
  <c r="L53" i="63"/>
  <c r="L54" i="63"/>
  <c r="L55" i="63"/>
  <c r="O56" i="63"/>
  <c r="P50" i="22"/>
  <c r="P51" i="22"/>
  <c r="E44" i="22"/>
  <c r="G44" i="22"/>
  <c r="E45" i="22"/>
  <c r="G45" i="22"/>
  <c r="E42" i="22"/>
  <c r="G42" i="22"/>
  <c r="I42" i="22"/>
  <c r="I44" i="22" s="1"/>
  <c r="I45" i="22" s="1"/>
  <c r="C38" i="22"/>
  <c r="K45" i="20"/>
  <c r="L45" i="20" s="1"/>
  <c r="I54" i="20"/>
  <c r="L47" i="20"/>
  <c r="L48" i="20"/>
  <c r="E49" i="20"/>
  <c r="E50" i="20"/>
  <c r="G53" i="20" s="1"/>
  <c r="C45" i="20"/>
  <c r="G45" i="20"/>
  <c r="G49" i="20" s="1"/>
  <c r="G50" i="20" s="1"/>
  <c r="F58" i="16"/>
  <c r="H58" i="16"/>
  <c r="I58" i="16"/>
  <c r="K58" i="16" s="1"/>
  <c r="F59" i="16"/>
  <c r="H59" i="16"/>
  <c r="I59" i="16"/>
  <c r="K59" i="16"/>
  <c r="F60" i="16"/>
  <c r="H60" i="16"/>
  <c r="I60" i="16"/>
  <c r="K60" i="16" s="1"/>
  <c r="F61" i="16"/>
  <c r="H61" i="16"/>
  <c r="I61" i="16"/>
  <c r="K61" i="16" s="1"/>
  <c r="K66" i="16"/>
  <c r="AP129" i="64"/>
  <c r="AO129" i="64"/>
  <c r="AP127" i="64" s="1"/>
  <c r="W124" i="64"/>
  <c r="E80" i="21"/>
  <c r="E72" i="21"/>
  <c r="E74" i="21" s="1"/>
  <c r="E75" i="21" s="1"/>
  <c r="G72" i="21"/>
  <c r="G74" i="21" s="1"/>
  <c r="G75" i="21" s="1"/>
  <c r="I72" i="21"/>
  <c r="I74" i="21" s="1"/>
  <c r="I81" i="21" s="1"/>
  <c r="C69" i="21"/>
  <c r="P34" i="15"/>
  <c r="E26" i="15"/>
  <c r="F26" i="15"/>
  <c r="J26" i="15"/>
  <c r="E27" i="15"/>
  <c r="F27" i="15"/>
  <c r="K27" i="15" s="1"/>
  <c r="J27" i="15"/>
  <c r="L29" i="15"/>
  <c r="E82" i="11"/>
  <c r="E83" i="11"/>
  <c r="P76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1" i="11"/>
  <c r="E64" i="11"/>
  <c r="I65" i="11"/>
  <c r="E66" i="11"/>
  <c r="H66" i="11"/>
  <c r="E62" i="11"/>
  <c r="H62" i="11"/>
  <c r="H64" i="11" s="1"/>
  <c r="F31" i="34"/>
  <c r="J31" i="34"/>
  <c r="F33" i="34"/>
  <c r="F34" i="34" s="1"/>
  <c r="J33" i="34"/>
  <c r="J34" i="34" s="1"/>
  <c r="J35" i="34" s="1"/>
  <c r="E34" i="34"/>
  <c r="O39" i="34"/>
  <c r="D26" i="57"/>
  <c r="D25" i="57"/>
  <c r="V82" i="64"/>
  <c r="L26" i="63"/>
  <c r="L28" i="63" s="1"/>
  <c r="Q22" i="28"/>
  <c r="U14" i="28" s="1"/>
  <c r="L12" i="20"/>
  <c r="L11" i="20"/>
  <c r="G18" i="20"/>
  <c r="M125" i="64"/>
  <c r="K128" i="64"/>
  <c r="K130" i="64" s="1"/>
  <c r="K46" i="64"/>
  <c r="AB128" i="64"/>
  <c r="AC128" i="64"/>
  <c r="AD128" i="64"/>
  <c r="AE128" i="64"/>
  <c r="AF128" i="64"/>
  <c r="AG128" i="64"/>
  <c r="AH128" i="64"/>
  <c r="AI128" i="64"/>
  <c r="AJ128" i="64"/>
  <c r="AK128" i="64"/>
  <c r="AL128" i="64"/>
  <c r="AA128" i="64"/>
  <c r="L130" i="64"/>
  <c r="M130" i="64"/>
  <c r="N130" i="64"/>
  <c r="O130" i="64"/>
  <c r="P130" i="64"/>
  <c r="T130" i="64"/>
  <c r="J130" i="64"/>
  <c r="V130" i="64" s="1"/>
  <c r="U130" i="64"/>
  <c r="K129" i="64"/>
  <c r="L129" i="64"/>
  <c r="M129" i="64"/>
  <c r="N129" i="64"/>
  <c r="O129" i="64"/>
  <c r="P129" i="64"/>
  <c r="Q129" i="64"/>
  <c r="R129" i="64"/>
  <c r="S129" i="64"/>
  <c r="T129" i="64"/>
  <c r="U129" i="64"/>
  <c r="J129" i="64"/>
  <c r="L128" i="64"/>
  <c r="M128" i="64"/>
  <c r="N128" i="64"/>
  <c r="O128" i="64"/>
  <c r="P128" i="64"/>
  <c r="Q128" i="64"/>
  <c r="Q130" i="64" s="1"/>
  <c r="R128" i="64"/>
  <c r="R130" i="64" s="1"/>
  <c r="S128" i="64"/>
  <c r="S130" i="64" s="1"/>
  <c r="T128" i="64"/>
  <c r="U128" i="64"/>
  <c r="J128" i="64"/>
  <c r="K127" i="64"/>
  <c r="L127" i="64"/>
  <c r="M127" i="64"/>
  <c r="N127" i="64"/>
  <c r="O127" i="64"/>
  <c r="P127" i="64"/>
  <c r="Q127" i="64"/>
  <c r="R127" i="64"/>
  <c r="S127" i="64"/>
  <c r="T127" i="64"/>
  <c r="U127" i="64"/>
  <c r="J127" i="64"/>
  <c r="V127" i="64" s="1"/>
  <c r="O46" i="64"/>
  <c r="AM123" i="64"/>
  <c r="AC123" i="64"/>
  <c r="AD123" i="64"/>
  <c r="AE123" i="64"/>
  <c r="AF123" i="64"/>
  <c r="AG123" i="64"/>
  <c r="AH123" i="64"/>
  <c r="AI123" i="64"/>
  <c r="AJ123" i="64"/>
  <c r="AK123" i="64"/>
  <c r="AL123" i="64"/>
  <c r="AM116" i="64"/>
  <c r="AM117" i="64"/>
  <c r="AM118" i="64"/>
  <c r="AM119" i="64"/>
  <c r="AM120" i="64"/>
  <c r="AM121" i="64"/>
  <c r="AM122" i="64"/>
  <c r="AB121" i="64"/>
  <c r="AC121" i="64"/>
  <c r="AD121" i="64"/>
  <c r="AE121" i="64"/>
  <c r="AF121" i="64"/>
  <c r="AG121" i="64"/>
  <c r="AH121" i="64"/>
  <c r="AI121" i="64"/>
  <c r="AJ121" i="64"/>
  <c r="AK121" i="64"/>
  <c r="AL121" i="64"/>
  <c r="AB122" i="64"/>
  <c r="AC122" i="64"/>
  <c r="AD122" i="64"/>
  <c r="AE122" i="64"/>
  <c r="AF122" i="64"/>
  <c r="AG122" i="64"/>
  <c r="AH122" i="64"/>
  <c r="AI122" i="64"/>
  <c r="AJ122" i="64"/>
  <c r="AK122" i="64"/>
  <c r="AL122" i="64"/>
  <c r="AA122" i="64"/>
  <c r="AA123" i="64"/>
  <c r="AA121" i="64"/>
  <c r="AB116" i="64"/>
  <c r="AC116" i="64"/>
  <c r="AD116" i="64"/>
  <c r="AE116" i="64"/>
  <c r="AF116" i="64"/>
  <c r="AG116" i="64"/>
  <c r="AH116" i="64"/>
  <c r="AI116" i="64"/>
  <c r="AJ116" i="64"/>
  <c r="AK116" i="64"/>
  <c r="AL116" i="64"/>
  <c r="AB117" i="64"/>
  <c r="AC117" i="64"/>
  <c r="AD117" i="64"/>
  <c r="AE117" i="64"/>
  <c r="AF117" i="64"/>
  <c r="AG117" i="64"/>
  <c r="AH117" i="64"/>
  <c r="AI117" i="64"/>
  <c r="AJ117" i="64"/>
  <c r="AK117" i="64"/>
  <c r="AL117" i="64"/>
  <c r="AB118" i="64"/>
  <c r="AC118" i="64"/>
  <c r="AD118" i="64"/>
  <c r="AE118" i="64"/>
  <c r="AF118" i="64"/>
  <c r="AG118" i="64"/>
  <c r="AH118" i="64"/>
  <c r="AI118" i="64"/>
  <c r="AJ118" i="64"/>
  <c r="AK118" i="64"/>
  <c r="AL118" i="64"/>
  <c r="AB119" i="64"/>
  <c r="AC119" i="64"/>
  <c r="AD119" i="64"/>
  <c r="AE119" i="64"/>
  <c r="AF119" i="64"/>
  <c r="AG119" i="64"/>
  <c r="AH119" i="64"/>
  <c r="AI119" i="64"/>
  <c r="AJ119" i="64"/>
  <c r="AK119" i="64"/>
  <c r="AL119" i="64"/>
  <c r="AB120" i="64"/>
  <c r="AC120" i="64"/>
  <c r="AD120" i="64"/>
  <c r="AE120" i="64"/>
  <c r="AF120" i="64"/>
  <c r="AG120" i="64"/>
  <c r="AH120" i="64"/>
  <c r="AI120" i="64"/>
  <c r="AJ120" i="64"/>
  <c r="AK120" i="64"/>
  <c r="AL120" i="64"/>
  <c r="AA117" i="64"/>
  <c r="AA118" i="64"/>
  <c r="AA119" i="64"/>
  <c r="AA120" i="64"/>
  <c r="AA116" i="64"/>
  <c r="AM115" i="64"/>
  <c r="AB115" i="64"/>
  <c r="AC115" i="64"/>
  <c r="AD115" i="64"/>
  <c r="AE115" i="64"/>
  <c r="AF115" i="64"/>
  <c r="AG115" i="64"/>
  <c r="AH115" i="64"/>
  <c r="AI115" i="64"/>
  <c r="AJ115" i="64"/>
  <c r="AK115" i="64"/>
  <c r="AL115" i="64"/>
  <c r="AA115" i="64"/>
  <c r="AM114" i="64"/>
  <c r="AM124" i="64" s="1"/>
  <c r="AK114" i="64"/>
  <c r="AL114" i="64"/>
  <c r="AB114" i="64"/>
  <c r="AC114" i="64"/>
  <c r="AD114" i="64"/>
  <c r="AE114" i="64"/>
  <c r="AF114" i="64"/>
  <c r="AG114" i="64"/>
  <c r="AH114" i="64"/>
  <c r="AI114" i="64"/>
  <c r="AJ114" i="64"/>
  <c r="AA114" i="64"/>
  <c r="V125" i="64"/>
  <c r="D123" i="64"/>
  <c r="V123" i="64" s="1"/>
  <c r="V122" i="64"/>
  <c r="V121" i="64"/>
  <c r="V120" i="64"/>
  <c r="V119" i="64"/>
  <c r="V118" i="64"/>
  <c r="V117" i="64"/>
  <c r="V116" i="64"/>
  <c r="V115" i="64"/>
  <c r="V114" i="64"/>
  <c r="V113" i="64"/>
  <c r="V112" i="64"/>
  <c r="V124" i="64" s="1"/>
  <c r="H56" i="5"/>
  <c r="K86" i="64"/>
  <c r="L86" i="64"/>
  <c r="M86" i="64"/>
  <c r="N86" i="64"/>
  <c r="O86" i="64"/>
  <c r="P86" i="64"/>
  <c r="Q86" i="64"/>
  <c r="R86" i="64"/>
  <c r="S86" i="64"/>
  <c r="T86" i="64"/>
  <c r="U86" i="64"/>
  <c r="J86" i="64"/>
  <c r="V105" i="64"/>
  <c r="U96" i="64"/>
  <c r="T96" i="64"/>
  <c r="S96" i="64"/>
  <c r="R96" i="64"/>
  <c r="Q96" i="64"/>
  <c r="P96" i="64"/>
  <c r="O96" i="64"/>
  <c r="N96" i="64"/>
  <c r="M96" i="64"/>
  <c r="V96" i="64" s="1"/>
  <c r="L96" i="64"/>
  <c r="R95" i="64"/>
  <c r="Q95" i="64"/>
  <c r="P95" i="64"/>
  <c r="O95" i="64"/>
  <c r="N95" i="64"/>
  <c r="M95" i="64"/>
  <c r="L95" i="64"/>
  <c r="K95" i="64"/>
  <c r="V95" i="64" s="1"/>
  <c r="J95" i="64"/>
  <c r="U94" i="64"/>
  <c r="T94" i="64"/>
  <c r="S94" i="64"/>
  <c r="R94" i="64"/>
  <c r="Q94" i="64"/>
  <c r="P94" i="64"/>
  <c r="O94" i="64"/>
  <c r="N94" i="64"/>
  <c r="M94" i="64"/>
  <c r="L94" i="64"/>
  <c r="K94" i="64"/>
  <c r="J94" i="64"/>
  <c r="V94" i="64" s="1"/>
  <c r="O93" i="64"/>
  <c r="V92" i="64"/>
  <c r="V87" i="64"/>
  <c r="D82" i="64"/>
  <c r="V81" i="64"/>
  <c r="V80" i="64"/>
  <c r="V79" i="64"/>
  <c r="V78" i="64"/>
  <c r="V77" i="64"/>
  <c r="V76" i="64"/>
  <c r="V75" i="64"/>
  <c r="V74" i="64"/>
  <c r="V73" i="64"/>
  <c r="V72" i="64"/>
  <c r="V71" i="64"/>
  <c r="G8" i="41"/>
  <c r="F9" i="41"/>
  <c r="I9" i="41"/>
  <c r="G13" i="41" s="1"/>
  <c r="I10" i="41"/>
  <c r="C13" i="41"/>
  <c r="D13" i="41"/>
  <c r="E13" i="41"/>
  <c r="H13" i="41"/>
  <c r="I13" i="41"/>
  <c r="J13" i="41"/>
  <c r="K13" i="41"/>
  <c r="L13" i="41"/>
  <c r="M13" i="41"/>
  <c r="Q15" i="69"/>
  <c r="F9" i="67"/>
  <c r="I9" i="67"/>
  <c r="I10" i="67"/>
  <c r="C13" i="67"/>
  <c r="O13" i="67" s="1"/>
  <c r="D13" i="67"/>
  <c r="E13" i="67"/>
  <c r="F13" i="67"/>
  <c r="G13" i="67"/>
  <c r="H13" i="67"/>
  <c r="I13" i="67"/>
  <c r="J13" i="67"/>
  <c r="K13" i="67"/>
  <c r="L13" i="67"/>
  <c r="M13" i="67"/>
  <c r="N13" i="67"/>
  <c r="F9" i="68"/>
  <c r="I9" i="68"/>
  <c r="F9" i="31"/>
  <c r="I9" i="31"/>
  <c r="F13" i="31" s="1"/>
  <c r="I10" i="31"/>
  <c r="I13" i="31"/>
  <c r="J13" i="31"/>
  <c r="F4" i="12"/>
  <c r="J4" i="12"/>
  <c r="F5" i="12"/>
  <c r="G8" i="12" s="1"/>
  <c r="J5" i="12"/>
  <c r="F6" i="12"/>
  <c r="J6" i="12"/>
  <c r="F7" i="12"/>
  <c r="J7" i="12"/>
  <c r="F8" i="12"/>
  <c r="J8" i="12"/>
  <c r="F9" i="12"/>
  <c r="G10" i="12" s="1"/>
  <c r="J9" i="12"/>
  <c r="F10" i="12"/>
  <c r="J10" i="12"/>
  <c r="K10" i="12" s="1"/>
  <c r="O22" i="12"/>
  <c r="O24" i="12"/>
  <c r="P19" i="62"/>
  <c r="E24" i="62"/>
  <c r="L27" i="63"/>
  <c r="O29" i="63"/>
  <c r="L32" i="63"/>
  <c r="L33" i="63"/>
  <c r="L34" i="63"/>
  <c r="L36" i="63"/>
  <c r="O37" i="63"/>
  <c r="C40" i="63"/>
  <c r="L40" i="63"/>
  <c r="L44" i="63" s="1"/>
  <c r="L41" i="63"/>
  <c r="L42" i="63"/>
  <c r="L43" i="63"/>
  <c r="F48" i="63"/>
  <c r="F24" i="25"/>
  <c r="F25" i="25" s="1"/>
  <c r="I24" i="25"/>
  <c r="C28" i="25" s="1"/>
  <c r="F28" i="25"/>
  <c r="G28" i="25"/>
  <c r="H28" i="25"/>
  <c r="I28" i="25"/>
  <c r="N28" i="25"/>
  <c r="D33" i="25"/>
  <c r="P33" i="25" s="1"/>
  <c r="P34" i="25" s="1"/>
  <c r="E33" i="25"/>
  <c r="F33" i="25"/>
  <c r="G33" i="25"/>
  <c r="H33" i="25"/>
  <c r="I33" i="25"/>
  <c r="J33" i="25"/>
  <c r="K33" i="25"/>
  <c r="L33" i="25"/>
  <c r="M33" i="25"/>
  <c r="N33" i="25"/>
  <c r="O33" i="25"/>
  <c r="V33" i="25"/>
  <c r="W40" i="25"/>
  <c r="W41" i="25"/>
  <c r="W42" i="25" s="1"/>
  <c r="X42" i="25" s="1"/>
  <c r="F23" i="71"/>
  <c r="F24" i="71" s="1"/>
  <c r="I23" i="71"/>
  <c r="I24" i="71" s="1"/>
  <c r="J24" i="71"/>
  <c r="O32" i="71"/>
  <c r="Q27" i="71" s="1"/>
  <c r="G40" i="71"/>
  <c r="H40" i="71"/>
  <c r="I40" i="71"/>
  <c r="J40" i="71"/>
  <c r="K40" i="71"/>
  <c r="K42" i="71" s="1"/>
  <c r="L40" i="71"/>
  <c r="L42" i="71" s="1"/>
  <c r="M40" i="71"/>
  <c r="N40" i="71"/>
  <c r="N66" i="71" s="1"/>
  <c r="O40" i="71"/>
  <c r="O66" i="71" s="1"/>
  <c r="G41" i="71"/>
  <c r="G42" i="71" s="1"/>
  <c r="H41" i="71"/>
  <c r="H42" i="71" s="1"/>
  <c r="I41" i="71"/>
  <c r="J41" i="71"/>
  <c r="K41" i="71"/>
  <c r="L41" i="71"/>
  <c r="M41" i="71"/>
  <c r="N41" i="71"/>
  <c r="O41" i="71"/>
  <c r="D44" i="71"/>
  <c r="E44" i="71"/>
  <c r="F44" i="71"/>
  <c r="F66" i="71" s="1"/>
  <c r="G44" i="71"/>
  <c r="G66" i="71" s="1"/>
  <c r="H44" i="71"/>
  <c r="I44" i="71"/>
  <c r="I66" i="71" s="1"/>
  <c r="J44" i="71"/>
  <c r="K44" i="71"/>
  <c r="L44" i="71"/>
  <c r="M44" i="71"/>
  <c r="N44" i="71"/>
  <c r="O44" i="71"/>
  <c r="W44" i="71"/>
  <c r="V53" i="71"/>
  <c r="X44" i="71"/>
  <c r="P49" i="71"/>
  <c r="D53" i="71"/>
  <c r="E53" i="71"/>
  <c r="F53" i="71"/>
  <c r="G53" i="71"/>
  <c r="H53" i="71"/>
  <c r="I53" i="71"/>
  <c r="J53" i="71"/>
  <c r="K53" i="71"/>
  <c r="L53" i="71"/>
  <c r="M53" i="71"/>
  <c r="N53" i="71"/>
  <c r="O53" i="71"/>
  <c r="W60" i="71"/>
  <c r="W61" i="71"/>
  <c r="W62" i="71"/>
  <c r="X62" i="71" s="1"/>
  <c r="D64" i="71"/>
  <c r="E64" i="71"/>
  <c r="F64" i="71"/>
  <c r="G64" i="71"/>
  <c r="H64" i="71"/>
  <c r="I64" i="71"/>
  <c r="J64" i="71"/>
  <c r="K64" i="71"/>
  <c r="L64" i="71"/>
  <c r="M64" i="71"/>
  <c r="N64" i="71"/>
  <c r="O64" i="71"/>
  <c r="D65" i="71"/>
  <c r="D66" i="71" s="1"/>
  <c r="E65" i="71"/>
  <c r="E66" i="71" s="1"/>
  <c r="F65" i="71"/>
  <c r="G65" i="71"/>
  <c r="H65" i="71"/>
  <c r="I65" i="71"/>
  <c r="J65" i="71"/>
  <c r="K65" i="71"/>
  <c r="L65" i="71"/>
  <c r="M65" i="71"/>
  <c r="N65" i="71"/>
  <c r="O65" i="71"/>
  <c r="L66" i="71"/>
  <c r="L69" i="71"/>
  <c r="P20" i="61"/>
  <c r="D24" i="61"/>
  <c r="E24" i="61"/>
  <c r="F24" i="61"/>
  <c r="G24" i="61"/>
  <c r="H24" i="61"/>
  <c r="I24" i="61"/>
  <c r="J24" i="61"/>
  <c r="K24" i="61"/>
  <c r="P21" i="60"/>
  <c r="E27" i="60"/>
  <c r="D21" i="30"/>
  <c r="E21" i="30"/>
  <c r="F21" i="30"/>
  <c r="G21" i="30"/>
  <c r="H21" i="30"/>
  <c r="I21" i="30"/>
  <c r="J21" i="30"/>
  <c r="K21" i="30"/>
  <c r="L21" i="30"/>
  <c r="M21" i="30"/>
  <c r="N21" i="30"/>
  <c r="O21" i="30"/>
  <c r="D12" i="59"/>
  <c r="F12" i="59" s="1"/>
  <c r="H12" i="59"/>
  <c r="J12" i="59"/>
  <c r="J15" i="59" s="1"/>
  <c r="J27" i="59"/>
  <c r="O28" i="59"/>
  <c r="H5" i="9"/>
  <c r="P28" i="9"/>
  <c r="G8" i="10"/>
  <c r="H8" i="10"/>
  <c r="I8" i="10" s="1"/>
  <c r="J8" i="10"/>
  <c r="L8" i="10" s="1"/>
  <c r="P19" i="10"/>
  <c r="I15" i="58"/>
  <c r="J15" i="58"/>
  <c r="L15" i="58"/>
  <c r="N15" i="58" s="1"/>
  <c r="P31" i="58"/>
  <c r="S25" i="58" s="1"/>
  <c r="S23" i="26"/>
  <c r="S30" i="26"/>
  <c r="S34" i="26" s="1"/>
  <c r="F13" i="56"/>
  <c r="D25" i="56" s="1"/>
  <c r="F25" i="56" s="1"/>
  <c r="F8" i="55"/>
  <c r="J8" i="55"/>
  <c r="J11" i="55" s="1"/>
  <c r="O22" i="55"/>
  <c r="F8" i="54"/>
  <c r="J8" i="54"/>
  <c r="J11" i="54" s="1"/>
  <c r="O21" i="54"/>
  <c r="F8" i="53"/>
  <c r="J8" i="53"/>
  <c r="J11" i="53" s="1"/>
  <c r="O21" i="53"/>
  <c r="F8" i="52"/>
  <c r="J8" i="52"/>
  <c r="J11" i="52" s="1"/>
  <c r="O21" i="52"/>
  <c r="F8" i="51"/>
  <c r="J8" i="51"/>
  <c r="J11" i="51"/>
  <c r="I20" i="51"/>
  <c r="O21" i="51"/>
  <c r="F7" i="37"/>
  <c r="J7" i="37"/>
  <c r="J10" i="37" s="1"/>
  <c r="N20" i="37"/>
  <c r="O21" i="37"/>
  <c r="G6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F6" i="66"/>
  <c r="F7" i="66" s="1"/>
  <c r="H6" i="66"/>
  <c r="D15" i="66" s="1"/>
  <c r="G15" i="66"/>
  <c r="H15" i="66"/>
  <c r="I15" i="66"/>
  <c r="L15" i="66"/>
  <c r="M15" i="66"/>
  <c r="N15" i="66"/>
  <c r="O15" i="66"/>
  <c r="P16" i="66"/>
  <c r="P21" i="66"/>
  <c r="P22" i="66"/>
  <c r="P23" i="66" s="1"/>
  <c r="D23" i="66"/>
  <c r="E23" i="66"/>
  <c r="F23" i="66"/>
  <c r="G23" i="66"/>
  <c r="H23" i="66"/>
  <c r="I23" i="66"/>
  <c r="J23" i="66"/>
  <c r="K23" i="66"/>
  <c r="L23" i="66"/>
  <c r="M23" i="66"/>
  <c r="N23" i="66"/>
  <c r="O23" i="66"/>
  <c r="H39" i="23"/>
  <c r="T48" i="23" s="1"/>
  <c r="K39" i="23"/>
  <c r="T50" i="23" s="1"/>
  <c r="U50" i="23" s="1"/>
  <c r="J47" i="23"/>
  <c r="K47" i="23"/>
  <c r="M47" i="23" s="1"/>
  <c r="J48" i="23"/>
  <c r="K48" i="23"/>
  <c r="M48" i="23" s="1"/>
  <c r="P48" i="23"/>
  <c r="S48" i="23"/>
  <c r="J49" i="23"/>
  <c r="M49" i="23"/>
  <c r="P49" i="23"/>
  <c r="P50" i="23"/>
  <c r="J55" i="23"/>
  <c r="M55" i="23"/>
  <c r="P55" i="23"/>
  <c r="T55" i="23"/>
  <c r="U55" i="23" s="1"/>
  <c r="J57" i="23"/>
  <c r="M57" i="23"/>
  <c r="P57" i="23"/>
  <c r="T57" i="23"/>
  <c r="U57" i="23" s="1"/>
  <c r="J58" i="23"/>
  <c r="M58" i="23"/>
  <c r="P58" i="23"/>
  <c r="T58" i="23"/>
  <c r="U58" i="23" s="1"/>
  <c r="Q105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C4" i="22"/>
  <c r="E10" i="22"/>
  <c r="D31" i="22" s="1"/>
  <c r="G10" i="22"/>
  <c r="N31" i="22" s="1"/>
  <c r="N32" i="22" s="1"/>
  <c r="I10" i="22"/>
  <c r="E12" i="22"/>
  <c r="G12" i="22"/>
  <c r="G13" i="22" s="1"/>
  <c r="E13" i="22"/>
  <c r="I13" i="22"/>
  <c r="P24" i="22"/>
  <c r="T18" i="22" s="1"/>
  <c r="P25" i="22"/>
  <c r="T19" i="22" s="1"/>
  <c r="P30" i="22"/>
  <c r="C4" i="21"/>
  <c r="E8" i="21"/>
  <c r="E10" i="21" s="1"/>
  <c r="E11" i="21" s="1"/>
  <c r="G8" i="21"/>
  <c r="G10" i="21" s="1"/>
  <c r="G11" i="21" s="1"/>
  <c r="I8" i="21"/>
  <c r="I11" i="21" s="1"/>
  <c r="I12" i="21" s="1"/>
  <c r="E16" i="21"/>
  <c r="P45" i="21"/>
  <c r="P54" i="21"/>
  <c r="D56" i="21"/>
  <c r="E56" i="21"/>
  <c r="E57" i="21" s="1"/>
  <c r="F56" i="21"/>
  <c r="F57" i="21" s="1"/>
  <c r="G56" i="21"/>
  <c r="G57" i="21" s="1"/>
  <c r="H56" i="21"/>
  <c r="H57" i="21" s="1"/>
  <c r="I56" i="21"/>
  <c r="I57" i="21" s="1"/>
  <c r="J56" i="21"/>
  <c r="J57" i="21" s="1"/>
  <c r="K56" i="21"/>
  <c r="K57" i="21" s="1"/>
  <c r="L56" i="21"/>
  <c r="L57" i="21" s="1"/>
  <c r="M56" i="21"/>
  <c r="M57" i="21" s="1"/>
  <c r="N56" i="21"/>
  <c r="N57" i="21" s="1"/>
  <c r="O56" i="21"/>
  <c r="O57" i="21" s="1"/>
  <c r="P61" i="21"/>
  <c r="P62" i="21"/>
  <c r="K9" i="20"/>
  <c r="C59" i="20" s="1"/>
  <c r="C9" i="20"/>
  <c r="E13" i="20"/>
  <c r="E14" i="20" s="1"/>
  <c r="G17" i="20" s="1"/>
  <c r="Q36" i="20"/>
  <c r="Q37" i="20"/>
  <c r="Q39" i="20" s="1"/>
  <c r="E39" i="20"/>
  <c r="F39" i="20"/>
  <c r="G39" i="20"/>
  <c r="H39" i="20"/>
  <c r="I39" i="20"/>
  <c r="J39" i="20"/>
  <c r="K39" i="20"/>
  <c r="L39" i="20"/>
  <c r="M39" i="20"/>
  <c r="N39" i="20"/>
  <c r="O39" i="20"/>
  <c r="P39" i="20"/>
  <c r="F4" i="19"/>
  <c r="F9" i="19"/>
  <c r="H9" i="19"/>
  <c r="K9" i="19"/>
  <c r="K13" i="19" s="1"/>
  <c r="K14" i="19" s="1"/>
  <c r="E13" i="19"/>
  <c r="E14" i="19" s="1"/>
  <c r="G13" i="19"/>
  <c r="G14" i="19" s="1"/>
  <c r="L13" i="19"/>
  <c r="L15" i="19"/>
  <c r="P33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E6" i="18"/>
  <c r="E10" i="18" s="1"/>
  <c r="E11" i="18" s="1"/>
  <c r="G6" i="18"/>
  <c r="G10" i="18" s="1"/>
  <c r="G11" i="18" s="1"/>
  <c r="K6" i="18"/>
  <c r="L6" i="18" s="1"/>
  <c r="L10" i="18" s="1"/>
  <c r="L11" i="18" s="1"/>
  <c r="P38" i="18"/>
  <c r="D42" i="18"/>
  <c r="D43" i="18" s="1"/>
  <c r="E42" i="18"/>
  <c r="E43" i="18" s="1"/>
  <c r="F42" i="18"/>
  <c r="F43" i="18" s="1"/>
  <c r="G42" i="18"/>
  <c r="G43" i="18" s="1"/>
  <c r="H42" i="18"/>
  <c r="H43" i="18" s="1"/>
  <c r="I42" i="18"/>
  <c r="I43" i="18" s="1"/>
  <c r="J42" i="18"/>
  <c r="J43" i="18" s="1"/>
  <c r="K42" i="18"/>
  <c r="K43" i="18" s="1"/>
  <c r="L42" i="18"/>
  <c r="L43" i="18" s="1"/>
  <c r="M42" i="18"/>
  <c r="M43" i="18" s="1"/>
  <c r="N42" i="18"/>
  <c r="N43" i="18" s="1"/>
  <c r="O42" i="18"/>
  <c r="O43" i="18" s="1"/>
  <c r="D6" i="17"/>
  <c r="F6" i="17"/>
  <c r="D15" i="17"/>
  <c r="P15" i="17" s="1"/>
  <c r="E15" i="17"/>
  <c r="F15" i="17"/>
  <c r="G15" i="17"/>
  <c r="H15" i="17"/>
  <c r="I15" i="17"/>
  <c r="J15" i="17"/>
  <c r="K15" i="17"/>
  <c r="L15" i="17"/>
  <c r="M15" i="17"/>
  <c r="N15" i="17"/>
  <c r="O15" i="17"/>
  <c r="H4" i="13"/>
  <c r="J4" i="13" s="1"/>
  <c r="D6" i="13"/>
  <c r="E6" i="13"/>
  <c r="F6" i="13"/>
  <c r="G7" i="13" s="1"/>
  <c r="G6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T25" i="13"/>
  <c r="T26" i="13" s="1"/>
  <c r="D33" i="13"/>
  <c r="F9" i="4"/>
  <c r="I9" i="4"/>
  <c r="J10" i="4"/>
  <c r="C13" i="4"/>
  <c r="O13" i="4" s="1"/>
  <c r="D13" i="4"/>
  <c r="E13" i="4"/>
  <c r="F13" i="4"/>
  <c r="G13" i="4"/>
  <c r="H13" i="4"/>
  <c r="I13" i="4"/>
  <c r="J13" i="4"/>
  <c r="K13" i="4"/>
  <c r="L13" i="4"/>
  <c r="M13" i="4"/>
  <c r="N13" i="4"/>
  <c r="C21" i="4"/>
  <c r="F22" i="4"/>
  <c r="G22" i="4"/>
  <c r="H22" i="4"/>
  <c r="I22" i="4"/>
  <c r="J22" i="4"/>
  <c r="K22" i="4"/>
  <c r="O22" i="4"/>
  <c r="D24" i="4"/>
  <c r="E24" i="4"/>
  <c r="F24" i="4"/>
  <c r="G24" i="4"/>
  <c r="H24" i="4"/>
  <c r="I24" i="4"/>
  <c r="J24" i="4"/>
  <c r="K24" i="4"/>
  <c r="L24" i="4"/>
  <c r="M24" i="4"/>
  <c r="N24" i="4"/>
  <c r="O24" i="4"/>
  <c r="C27" i="4"/>
  <c r="D28" i="4" s="1"/>
  <c r="M28" i="4"/>
  <c r="D31" i="4"/>
  <c r="E31" i="4"/>
  <c r="F31" i="4"/>
  <c r="G31" i="4"/>
  <c r="H31" i="4"/>
  <c r="I31" i="4"/>
  <c r="J31" i="4"/>
  <c r="K31" i="4"/>
  <c r="L31" i="4"/>
  <c r="M31" i="4"/>
  <c r="N31" i="4"/>
  <c r="O31" i="4"/>
  <c r="D42" i="4"/>
  <c r="Q42" i="4" s="1"/>
  <c r="E42" i="4"/>
  <c r="F42" i="4"/>
  <c r="G42" i="4"/>
  <c r="H42" i="4"/>
  <c r="I42" i="4"/>
  <c r="J42" i="4"/>
  <c r="K42" i="4"/>
  <c r="L42" i="4"/>
  <c r="M42" i="4"/>
  <c r="N42" i="4"/>
  <c r="O42" i="4"/>
  <c r="D47" i="4"/>
  <c r="E47" i="4"/>
  <c r="F47" i="4"/>
  <c r="G47" i="4"/>
  <c r="H47" i="4"/>
  <c r="I47" i="4"/>
  <c r="J47" i="4"/>
  <c r="K47" i="4"/>
  <c r="L47" i="4"/>
  <c r="M47" i="4"/>
  <c r="N47" i="4"/>
  <c r="O47" i="4"/>
  <c r="G8" i="39"/>
  <c r="F9" i="39"/>
  <c r="I9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I8" i="40"/>
  <c r="K9" i="40" s="1"/>
  <c r="H9" i="40"/>
  <c r="H9" i="28"/>
  <c r="K9" i="28"/>
  <c r="L10" i="28"/>
  <c r="H9" i="29"/>
  <c r="K9" i="29"/>
  <c r="L10" i="29"/>
  <c r="L22" i="5"/>
  <c r="K23" i="5" s="1"/>
  <c r="K24" i="5" s="1"/>
  <c r="H23" i="5"/>
  <c r="H24" i="5" s="1"/>
  <c r="L24" i="5"/>
  <c r="E49" i="5"/>
  <c r="F49" i="5"/>
  <c r="G49" i="5"/>
  <c r="H49" i="5"/>
  <c r="I49" i="5"/>
  <c r="J49" i="5"/>
  <c r="K49" i="5"/>
  <c r="L49" i="5"/>
  <c r="M49" i="5"/>
  <c r="N49" i="5"/>
  <c r="O49" i="5"/>
  <c r="P49" i="5"/>
  <c r="E56" i="5"/>
  <c r="F56" i="5"/>
  <c r="G56" i="5"/>
  <c r="I56" i="5"/>
  <c r="J56" i="5"/>
  <c r="K56" i="5"/>
  <c r="L56" i="5"/>
  <c r="M56" i="5"/>
  <c r="N56" i="5"/>
  <c r="O56" i="5"/>
  <c r="P56" i="5"/>
  <c r="F66" i="5"/>
  <c r="G66" i="5"/>
  <c r="H66" i="5"/>
  <c r="I66" i="5"/>
  <c r="J66" i="5"/>
  <c r="K66" i="5"/>
  <c r="L66" i="5"/>
  <c r="M66" i="5"/>
  <c r="N66" i="5"/>
  <c r="F68" i="5"/>
  <c r="G68" i="5"/>
  <c r="H68" i="5"/>
  <c r="I68" i="5"/>
  <c r="J68" i="5"/>
  <c r="K68" i="5"/>
  <c r="L68" i="5"/>
  <c r="M68" i="5"/>
  <c r="N68" i="5"/>
  <c r="O68" i="5"/>
  <c r="O104" i="5" s="1"/>
  <c r="P68" i="5"/>
  <c r="P104" i="5" s="1"/>
  <c r="Q68" i="5"/>
  <c r="Q104" i="5" s="1"/>
  <c r="Y68" i="5"/>
  <c r="X73" i="5"/>
  <c r="F72" i="5"/>
  <c r="G72" i="5"/>
  <c r="G91" i="5" s="1"/>
  <c r="H72" i="5"/>
  <c r="H91" i="5" s="1"/>
  <c r="I73" i="5"/>
  <c r="J73" i="5"/>
  <c r="K73" i="5"/>
  <c r="L73" i="5"/>
  <c r="M73" i="5"/>
  <c r="N73" i="5"/>
  <c r="O73" i="5"/>
  <c r="P73" i="5"/>
  <c r="Q73" i="5"/>
  <c r="R78" i="5"/>
  <c r="F79" i="5"/>
  <c r="G79" i="5"/>
  <c r="H79" i="5"/>
  <c r="F81" i="5"/>
  <c r="F83" i="5" s="1"/>
  <c r="G81" i="5"/>
  <c r="G83" i="5" s="1"/>
  <c r="H81" i="5"/>
  <c r="H83" i="5" s="1"/>
  <c r="I82" i="5"/>
  <c r="J82" i="5"/>
  <c r="K82" i="5"/>
  <c r="L82" i="5"/>
  <c r="M82" i="5"/>
  <c r="N82" i="5"/>
  <c r="O82" i="5"/>
  <c r="P82" i="5"/>
  <c r="Q82" i="5"/>
  <c r="S83" i="5"/>
  <c r="H87" i="5"/>
  <c r="I87" i="5" s="1"/>
  <c r="F89" i="5"/>
  <c r="G89" i="5"/>
  <c r="Y98" i="5"/>
  <c r="Y99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F103" i="5"/>
  <c r="F104" i="5" s="1"/>
  <c r="G103" i="5"/>
  <c r="G104" i="5" s="1"/>
  <c r="H103" i="5"/>
  <c r="I103" i="5"/>
  <c r="J103" i="5"/>
  <c r="K103" i="5"/>
  <c r="L103" i="5"/>
  <c r="M103" i="5"/>
  <c r="N103" i="5"/>
  <c r="O103" i="5"/>
  <c r="P103" i="5"/>
  <c r="Q103" i="5"/>
  <c r="N107" i="5"/>
  <c r="E5" i="15"/>
  <c r="F5" i="15"/>
  <c r="J5" i="15"/>
  <c r="E6" i="15"/>
  <c r="F6" i="15"/>
  <c r="J6" i="15"/>
  <c r="L8" i="15"/>
  <c r="P19" i="15"/>
  <c r="C6" i="14"/>
  <c r="C7" i="14" s="1"/>
  <c r="D6" i="14"/>
  <c r="D7" i="14" s="1"/>
  <c r="O15" i="14"/>
  <c r="B7" i="49"/>
  <c r="D7" i="49"/>
  <c r="G7" i="49"/>
  <c r="H10" i="49"/>
  <c r="H11" i="49"/>
  <c r="C14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O15" i="49"/>
  <c r="H12" i="48"/>
  <c r="O21" i="48"/>
  <c r="E8" i="11"/>
  <c r="G8" i="11"/>
  <c r="E9" i="11"/>
  <c r="G9" i="11"/>
  <c r="E21" i="11"/>
  <c r="E23" i="11" s="1"/>
  <c r="H21" i="11"/>
  <c r="H23" i="11" s="1"/>
  <c r="I24" i="11"/>
  <c r="E25" i="11"/>
  <c r="H25" i="11"/>
  <c r="P43" i="11"/>
  <c r="P44" i="11"/>
  <c r="P49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E55" i="11"/>
  <c r="E56" i="11"/>
  <c r="F9" i="16"/>
  <c r="H9" i="16"/>
  <c r="I9" i="16"/>
  <c r="K9" i="16" s="1"/>
  <c r="F10" i="16"/>
  <c r="H10" i="16"/>
  <c r="I10" i="16"/>
  <c r="K10" i="16" s="1"/>
  <c r="F11" i="16"/>
  <c r="H11" i="16"/>
  <c r="I11" i="16"/>
  <c r="K11" i="16" s="1"/>
  <c r="F12" i="16"/>
  <c r="H12" i="16"/>
  <c r="I12" i="16"/>
  <c r="K12" i="16" s="1"/>
  <c r="K17" i="16"/>
  <c r="P45" i="16"/>
  <c r="P47" i="16" s="1"/>
  <c r="P46" i="16"/>
  <c r="D7" i="47"/>
  <c r="G7" i="47"/>
  <c r="H10" i="47"/>
  <c r="H11" i="47" s="1"/>
  <c r="F19" i="47"/>
  <c r="I19" i="47"/>
  <c r="K19" i="47"/>
  <c r="O20" i="47"/>
  <c r="D7" i="46"/>
  <c r="G7" i="46"/>
  <c r="H10" i="46"/>
  <c r="F14" i="46" s="1"/>
  <c r="H11" i="46"/>
  <c r="C14" i="46"/>
  <c r="I14" i="46"/>
  <c r="J14" i="46"/>
  <c r="K14" i="46"/>
  <c r="N14" i="46"/>
  <c r="O15" i="46"/>
  <c r="E3" i="35"/>
  <c r="F8" i="35"/>
  <c r="F9" i="35"/>
  <c r="F10" i="35"/>
  <c r="O41" i="35"/>
  <c r="D8" i="74"/>
  <c r="J8" i="74"/>
  <c r="H8" i="74" s="1"/>
  <c r="J11" i="74" s="1"/>
  <c r="J12" i="74" s="1"/>
  <c r="N8" i="74"/>
  <c r="C15" i="74"/>
  <c r="D15" i="74"/>
  <c r="E15" i="74"/>
  <c r="F15" i="74"/>
  <c r="O15" i="74" s="1"/>
  <c r="G15" i="74"/>
  <c r="H15" i="74"/>
  <c r="I15" i="74"/>
  <c r="J15" i="74"/>
  <c r="K15" i="74"/>
  <c r="L15" i="74"/>
  <c r="M15" i="74"/>
  <c r="N15" i="74"/>
  <c r="O16" i="74"/>
  <c r="F16" i="45"/>
  <c r="O25" i="45" s="1"/>
  <c r="J16" i="45"/>
  <c r="N16" i="45"/>
  <c r="N20" i="45" s="1"/>
  <c r="J19" i="45"/>
  <c r="I24" i="45" s="1"/>
  <c r="J20" i="45"/>
  <c r="F9" i="42"/>
  <c r="F10" i="42"/>
  <c r="F11" i="42"/>
  <c r="F12" i="42"/>
  <c r="F13" i="42" s="1"/>
  <c r="F14" i="42"/>
  <c r="O25" i="42"/>
  <c r="O29" i="42"/>
  <c r="F7" i="44"/>
  <c r="J7" i="44"/>
  <c r="J10" i="44" s="1"/>
  <c r="O15" i="44"/>
  <c r="F7" i="43"/>
  <c r="J7" i="43"/>
  <c r="J10" i="43" s="1"/>
  <c r="O21" i="43"/>
  <c r="F5" i="64"/>
  <c r="V11" i="64"/>
  <c r="M24" i="64" s="1"/>
  <c r="V12" i="64"/>
  <c r="V13" i="64"/>
  <c r="V14" i="64"/>
  <c r="V15" i="64"/>
  <c r="V16" i="64"/>
  <c r="V17" i="64"/>
  <c r="V18" i="64"/>
  <c r="V19" i="64"/>
  <c r="V20" i="64"/>
  <c r="V21" i="64"/>
  <c r="D22" i="64"/>
  <c r="V22" i="64" s="1"/>
  <c r="V25" i="64"/>
  <c r="V31" i="64"/>
  <c r="V32" i="64"/>
  <c r="V33" i="64"/>
  <c r="L46" i="64" s="1"/>
  <c r="V34" i="64"/>
  <c r="V35" i="64"/>
  <c r="V36" i="64"/>
  <c r="V37" i="64"/>
  <c r="V38" i="64"/>
  <c r="V39" i="64"/>
  <c r="V40" i="64"/>
  <c r="V41" i="64"/>
  <c r="D42" i="64"/>
  <c r="V42" i="64" s="1"/>
  <c r="V47" i="64"/>
  <c r="V52" i="64"/>
  <c r="J54" i="64"/>
  <c r="J93" i="64" s="1"/>
  <c r="J55" i="64"/>
  <c r="J53" i="64"/>
  <c r="J57" i="64" s="1"/>
  <c r="K54" i="64"/>
  <c r="K53" i="64" s="1"/>
  <c r="K57" i="64" s="1"/>
  <c r="K55" i="64"/>
  <c r="L54" i="64"/>
  <c r="L93" i="64" s="1"/>
  <c r="L55" i="64"/>
  <c r="L56" i="64"/>
  <c r="M54" i="64"/>
  <c r="M55" i="64"/>
  <c r="M56" i="64"/>
  <c r="N54" i="64"/>
  <c r="N53" i="64" s="1"/>
  <c r="N57" i="64" s="1"/>
  <c r="N55" i="64"/>
  <c r="N56" i="64"/>
  <c r="O54" i="64"/>
  <c r="O53" i="64" s="1"/>
  <c r="O57" i="64" s="1"/>
  <c r="O55" i="64"/>
  <c r="O56" i="64"/>
  <c r="P54" i="64"/>
  <c r="P93" i="64" s="1"/>
  <c r="P55" i="64"/>
  <c r="P56" i="64"/>
  <c r="Q54" i="64"/>
  <c r="Q93" i="64" s="1"/>
  <c r="Q55" i="64"/>
  <c r="Q56" i="64"/>
  <c r="R54" i="64"/>
  <c r="R53" i="64" s="1"/>
  <c r="R57" i="64" s="1"/>
  <c r="R55" i="64"/>
  <c r="R56" i="64"/>
  <c r="S54" i="64"/>
  <c r="S56" i="64"/>
  <c r="T54" i="64"/>
  <c r="T93" i="64" s="1"/>
  <c r="T56" i="64"/>
  <c r="T53" i="64"/>
  <c r="T57" i="64" s="1"/>
  <c r="U54" i="64"/>
  <c r="U93" i="64" s="1"/>
  <c r="U56" i="64"/>
  <c r="V65" i="64"/>
  <c r="F7" i="65"/>
  <c r="J7" i="65"/>
  <c r="J11" i="65"/>
  <c r="J10" i="65" s="1"/>
  <c r="O21" i="65"/>
  <c r="F7" i="57"/>
  <c r="J7" i="57"/>
  <c r="J10" i="57"/>
  <c r="J11" i="57"/>
  <c r="O21" i="57"/>
  <c r="F7" i="38"/>
  <c r="J7" i="38"/>
  <c r="J10" i="38"/>
  <c r="I20" i="38" s="1"/>
  <c r="C20" i="38"/>
  <c r="D20" i="38"/>
  <c r="O21" i="38"/>
  <c r="F7" i="34"/>
  <c r="J7" i="34"/>
  <c r="F9" i="34"/>
  <c r="F10" i="34" s="1"/>
  <c r="J9" i="34"/>
  <c r="E10" i="34"/>
  <c r="F7" i="36"/>
  <c r="J7" i="36"/>
  <c r="J12" i="36" s="1"/>
  <c r="H22" i="36" s="1"/>
  <c r="D22" i="36"/>
  <c r="L22" i="36"/>
  <c r="M22" i="36"/>
  <c r="O23" i="36"/>
  <c r="P23" i="36" s="1"/>
  <c r="K10" i="24"/>
  <c r="P18" i="24"/>
  <c r="P25" i="24"/>
  <c r="D27" i="24"/>
  <c r="E27" i="24"/>
  <c r="F27" i="24"/>
  <c r="G27" i="24"/>
  <c r="H27" i="24"/>
  <c r="I27" i="24"/>
  <c r="J27" i="24"/>
  <c r="K27" i="24"/>
  <c r="L27" i="24"/>
  <c r="M27" i="24"/>
  <c r="N27" i="24"/>
  <c r="O27" i="24"/>
  <c r="J19" i="47" l="1"/>
  <c r="D19" i="47"/>
  <c r="C19" i="47"/>
  <c r="E19" i="47"/>
  <c r="C14" i="47"/>
  <c r="F14" i="47"/>
  <c r="D14" i="47"/>
  <c r="L14" i="47"/>
  <c r="K14" i="47"/>
  <c r="J14" i="47"/>
  <c r="I14" i="47"/>
  <c r="H14" i="47"/>
  <c r="E14" i="47"/>
  <c r="N14" i="47"/>
  <c r="M14" i="47"/>
  <c r="G14" i="47"/>
  <c r="N19" i="47"/>
  <c r="M19" i="47"/>
  <c r="L19" i="47"/>
  <c r="P53" i="71"/>
  <c r="P54" i="71" s="1"/>
  <c r="K66" i="71"/>
  <c r="I42" i="71"/>
  <c r="S26" i="26"/>
  <c r="V17" i="26"/>
  <c r="D27" i="57"/>
  <c r="E20" i="57"/>
  <c r="O14" i="57"/>
  <c r="O16" i="57" s="1"/>
  <c r="C14" i="65"/>
  <c r="N14" i="65"/>
  <c r="M14" i="65"/>
  <c r="L14" i="65"/>
  <c r="K14" i="65"/>
  <c r="J14" i="65"/>
  <c r="I14" i="65"/>
  <c r="H14" i="65"/>
  <c r="G14" i="65"/>
  <c r="F14" i="65"/>
  <c r="E14" i="65"/>
  <c r="D14" i="65"/>
  <c r="P31" i="20"/>
  <c r="G9" i="20"/>
  <c r="G13" i="20" s="1"/>
  <c r="G14" i="20" s="1"/>
  <c r="P29" i="20"/>
  <c r="H62" i="16"/>
  <c r="H63" i="16" s="1"/>
  <c r="E12" i="11"/>
  <c r="E13" i="11" s="1"/>
  <c r="P51" i="11"/>
  <c r="P52" i="11" s="1"/>
  <c r="P78" i="11"/>
  <c r="P79" i="11" s="1"/>
  <c r="P70" i="11"/>
  <c r="K15" i="58"/>
  <c r="R52" i="19"/>
  <c r="R53" i="19" s="1"/>
  <c r="P39" i="19"/>
  <c r="P29" i="18"/>
  <c r="T19" i="18" s="1"/>
  <c r="P31" i="18"/>
  <c r="T20" i="18" s="1"/>
  <c r="K5" i="15"/>
  <c r="E28" i="15"/>
  <c r="E29" i="15" s="1"/>
  <c r="K6" i="15"/>
  <c r="K7" i="15" s="1"/>
  <c r="K8" i="15" s="1"/>
  <c r="K26" i="15"/>
  <c r="K28" i="15" s="1"/>
  <c r="K29" i="15" s="1"/>
  <c r="E7" i="15"/>
  <c r="E8" i="15" s="1"/>
  <c r="H7" i="13"/>
  <c r="H8" i="13" s="1"/>
  <c r="K5" i="13"/>
  <c r="P18" i="13"/>
  <c r="I10" i="68"/>
  <c r="Y100" i="5"/>
  <c r="Z100" i="5" s="1"/>
  <c r="R73" i="5"/>
  <c r="K104" i="5"/>
  <c r="P56" i="21"/>
  <c r="P57" i="21" s="1"/>
  <c r="P63" i="21"/>
  <c r="I10" i="21"/>
  <c r="D57" i="21"/>
  <c r="I75" i="21"/>
  <c r="I76" i="21" s="1"/>
  <c r="J76" i="21" s="1"/>
  <c r="J77" i="21" s="1"/>
  <c r="M31" i="22"/>
  <c r="M32" i="22" s="1"/>
  <c r="L31" i="22"/>
  <c r="L32" i="22" s="1"/>
  <c r="K31" i="22"/>
  <c r="K32" i="22" s="1"/>
  <c r="J31" i="22"/>
  <c r="J32" i="22" s="1"/>
  <c r="I31" i="22"/>
  <c r="I32" i="22" s="1"/>
  <c r="H31" i="22"/>
  <c r="H32" i="22" s="1"/>
  <c r="G31" i="22"/>
  <c r="G32" i="22" s="1"/>
  <c r="F31" i="22"/>
  <c r="F32" i="22" s="1"/>
  <c r="E31" i="22"/>
  <c r="E32" i="22" s="1"/>
  <c r="O31" i="22"/>
  <c r="O32" i="22" s="1"/>
  <c r="F92" i="5"/>
  <c r="Z68" i="5"/>
  <c r="N104" i="5"/>
  <c r="J104" i="5"/>
  <c r="I104" i="5"/>
  <c r="H89" i="5"/>
  <c r="R89" i="5" s="1"/>
  <c r="R102" i="5"/>
  <c r="U104" i="5" s="1"/>
  <c r="F91" i="5"/>
  <c r="M104" i="5"/>
  <c r="H104" i="5"/>
  <c r="R82" i="5"/>
  <c r="L104" i="5"/>
  <c r="R66" i="5"/>
  <c r="J16" i="59"/>
  <c r="H25" i="56"/>
  <c r="J25" i="56" s="1"/>
  <c r="J28" i="56" s="1"/>
  <c r="E21" i="55"/>
  <c r="C15" i="55"/>
  <c r="E15" i="55"/>
  <c r="D15" i="55"/>
  <c r="G20" i="54"/>
  <c r="C15" i="54"/>
  <c r="K15" i="54"/>
  <c r="N15" i="54"/>
  <c r="M15" i="54"/>
  <c r="L15" i="54"/>
  <c r="J15" i="54"/>
  <c r="I15" i="54"/>
  <c r="H15" i="54"/>
  <c r="F15" i="54"/>
  <c r="E15" i="54"/>
  <c r="G15" i="54"/>
  <c r="D15" i="54"/>
  <c r="I20" i="54"/>
  <c r="J12" i="54"/>
  <c r="C20" i="54"/>
  <c r="J20" i="54"/>
  <c r="K20" i="54"/>
  <c r="G20" i="53"/>
  <c r="C15" i="53"/>
  <c r="K15" i="53"/>
  <c r="M15" i="53"/>
  <c r="L15" i="53"/>
  <c r="J15" i="53"/>
  <c r="N15" i="53"/>
  <c r="I15" i="53"/>
  <c r="H15" i="53"/>
  <c r="G15" i="53"/>
  <c r="F15" i="53"/>
  <c r="E15" i="53"/>
  <c r="D15" i="53"/>
  <c r="D20" i="52"/>
  <c r="C15" i="52"/>
  <c r="N15" i="52"/>
  <c r="M15" i="52"/>
  <c r="L15" i="52"/>
  <c r="K15" i="52"/>
  <c r="J15" i="52"/>
  <c r="F15" i="52"/>
  <c r="E15" i="52"/>
  <c r="D15" i="52"/>
  <c r="I15" i="52"/>
  <c r="H15" i="52"/>
  <c r="G15" i="52"/>
  <c r="C15" i="51"/>
  <c r="N15" i="51"/>
  <c r="M15" i="51"/>
  <c r="J15" i="51"/>
  <c r="G15" i="51"/>
  <c r="F15" i="51"/>
  <c r="L15" i="51"/>
  <c r="K15" i="51"/>
  <c r="E15" i="51"/>
  <c r="I15" i="51"/>
  <c r="H15" i="51"/>
  <c r="D15" i="51"/>
  <c r="F20" i="37"/>
  <c r="C14" i="37"/>
  <c r="D14" i="37"/>
  <c r="N14" i="37"/>
  <c r="M14" i="37"/>
  <c r="L14" i="37"/>
  <c r="K14" i="37"/>
  <c r="J14" i="37"/>
  <c r="I14" i="37"/>
  <c r="H14" i="37"/>
  <c r="G14" i="37"/>
  <c r="F14" i="37"/>
  <c r="E14" i="37"/>
  <c r="F15" i="66"/>
  <c r="E15" i="66"/>
  <c r="H7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P59" i="23"/>
  <c r="P110" i="23" s="1"/>
  <c r="P111" i="23" s="1"/>
  <c r="P112" i="23" s="1"/>
  <c r="U48" i="23"/>
  <c r="M59" i="23"/>
  <c r="E110" i="23" s="1"/>
  <c r="E111" i="23" s="1"/>
  <c r="P52" i="23"/>
  <c r="P53" i="23" s="1"/>
  <c r="J52" i="23"/>
  <c r="J53" i="23" s="1"/>
  <c r="J59" i="23"/>
  <c r="J60" i="23" s="1"/>
  <c r="Q96" i="23"/>
  <c r="U52" i="23"/>
  <c r="U53" i="23" s="1"/>
  <c r="E25" i="61"/>
  <c r="M42" i="71"/>
  <c r="N42" i="71"/>
  <c r="P44" i="71"/>
  <c r="O42" i="71"/>
  <c r="H66" i="71"/>
  <c r="K8" i="12"/>
  <c r="M20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L20" i="48"/>
  <c r="K20" i="48"/>
  <c r="J20" i="48"/>
  <c r="I20" i="48"/>
  <c r="F20" i="48"/>
  <c r="E20" i="48"/>
  <c r="C20" i="48"/>
  <c r="H13" i="48"/>
  <c r="D20" i="48"/>
  <c r="N20" i="48"/>
  <c r="F11" i="35"/>
  <c r="F12" i="35" s="1"/>
  <c r="C24" i="45"/>
  <c r="M24" i="45"/>
  <c r="C29" i="45"/>
  <c r="D29" i="45"/>
  <c r="E29" i="45"/>
  <c r="F29" i="45"/>
  <c r="G29" i="45"/>
  <c r="H29" i="45"/>
  <c r="I29" i="45"/>
  <c r="J29" i="45"/>
  <c r="K29" i="45"/>
  <c r="L29" i="45"/>
  <c r="M29" i="45"/>
  <c r="N29" i="45"/>
  <c r="L24" i="45"/>
  <c r="K24" i="45"/>
  <c r="J24" i="45"/>
  <c r="H24" i="45"/>
  <c r="G24" i="45"/>
  <c r="E24" i="45"/>
  <c r="D24" i="45"/>
  <c r="L20" i="43"/>
  <c r="D20" i="43"/>
  <c r="E20" i="43"/>
  <c r="M20" i="43"/>
  <c r="H20" i="43"/>
  <c r="M14" i="43"/>
  <c r="I14" i="43"/>
  <c r="G14" i="43"/>
  <c r="F14" i="43"/>
  <c r="D14" i="43"/>
  <c r="N14" i="43"/>
  <c r="L14" i="43"/>
  <c r="K14" i="43"/>
  <c r="J14" i="43"/>
  <c r="H14" i="43"/>
  <c r="E14" i="43"/>
  <c r="C14" i="43"/>
  <c r="N20" i="38"/>
  <c r="L20" i="38"/>
  <c r="K20" i="38"/>
  <c r="J11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G20" i="38"/>
  <c r="F20" i="38"/>
  <c r="J10" i="34"/>
  <c r="J22" i="36"/>
  <c r="I22" i="36"/>
  <c r="E22" i="36"/>
  <c r="J13" i="36"/>
  <c r="P27" i="24"/>
  <c r="P28" i="24"/>
  <c r="K15" i="16"/>
  <c r="K16" i="16" s="1"/>
  <c r="F13" i="16"/>
  <c r="F14" i="16" s="1"/>
  <c r="H13" i="16"/>
  <c r="H14" i="16" s="1"/>
  <c r="F62" i="16"/>
  <c r="F63" i="16" s="1"/>
  <c r="V97" i="75"/>
  <c r="V57" i="75"/>
  <c r="AA59" i="23"/>
  <c r="AA62" i="23" s="1"/>
  <c r="V127" i="75"/>
  <c r="AA53" i="23"/>
  <c r="M48" i="20"/>
  <c r="M47" i="20"/>
  <c r="L49" i="20"/>
  <c r="L50" i="20" s="1"/>
  <c r="G146" i="64"/>
  <c r="H146" i="64" s="1"/>
  <c r="H145" i="64"/>
  <c r="L145" i="64" s="1"/>
  <c r="K64" i="16"/>
  <c r="K65" i="16" s="1"/>
  <c r="Q49" i="5"/>
  <c r="L68" i="20"/>
  <c r="L69" i="20" s="1"/>
  <c r="M67" i="20"/>
  <c r="V83" i="64"/>
  <c r="S53" i="64"/>
  <c r="U53" i="64"/>
  <c r="P53" i="64"/>
  <c r="V43" i="64"/>
  <c r="J97" i="64"/>
  <c r="R97" i="64"/>
  <c r="V54" i="64"/>
  <c r="R93" i="64"/>
  <c r="K97" i="64"/>
  <c r="V56" i="64"/>
  <c r="K93" i="64"/>
  <c r="S93" i="64"/>
  <c r="T97" i="64"/>
  <c r="V55" i="64"/>
  <c r="L53" i="64"/>
  <c r="J46" i="64"/>
  <c r="M93" i="64"/>
  <c r="N97" i="64"/>
  <c r="Q53" i="64"/>
  <c r="N46" i="64"/>
  <c r="N93" i="64"/>
  <c r="O97" i="64"/>
  <c r="V23" i="64"/>
  <c r="J87" i="5"/>
  <c r="I90" i="5"/>
  <c r="V53" i="64"/>
  <c r="E14" i="44"/>
  <c r="J11" i="44"/>
  <c r="K14" i="44"/>
  <c r="L14" i="44"/>
  <c r="C14" i="44"/>
  <c r="D14" i="44"/>
  <c r="M14" i="44"/>
  <c r="F14" i="44"/>
  <c r="N14" i="44"/>
  <c r="G14" i="44"/>
  <c r="H14" i="44"/>
  <c r="I14" i="44"/>
  <c r="J14" i="44"/>
  <c r="O17" i="74"/>
  <c r="G22" i="36"/>
  <c r="L20" i="57"/>
  <c r="D20" i="57"/>
  <c r="M53" i="64"/>
  <c r="U46" i="64"/>
  <c r="M46" i="64"/>
  <c r="P24" i="64"/>
  <c r="G20" i="43"/>
  <c r="G14" i="46"/>
  <c r="H20" i="48"/>
  <c r="G20" i="48"/>
  <c r="R81" i="5"/>
  <c r="Q47" i="4"/>
  <c r="Q48" i="4" s="1"/>
  <c r="O28" i="4"/>
  <c r="O33" i="4" s="1"/>
  <c r="O34" i="4" s="1"/>
  <c r="E28" i="4"/>
  <c r="Q28" i="4" s="1"/>
  <c r="E22" i="4"/>
  <c r="M22" i="4"/>
  <c r="M33" i="4" s="1"/>
  <c r="M34" i="4" s="1"/>
  <c r="D22" i="4"/>
  <c r="L22" i="4"/>
  <c r="U59" i="23"/>
  <c r="L20" i="52"/>
  <c r="R46" i="64"/>
  <c r="U24" i="64"/>
  <c r="N20" i="57"/>
  <c r="R24" i="64"/>
  <c r="I20" i="43"/>
  <c r="N22" i="36"/>
  <c r="F22" i="36"/>
  <c r="H20" i="38"/>
  <c r="K20" i="57"/>
  <c r="C20" i="57"/>
  <c r="T46" i="64"/>
  <c r="O24" i="64"/>
  <c r="N20" i="43"/>
  <c r="F20" i="43"/>
  <c r="O40" i="35"/>
  <c r="S28" i="35" s="1"/>
  <c r="G12" i="11"/>
  <c r="G13" i="11" s="1"/>
  <c r="O16" i="49"/>
  <c r="G92" i="5"/>
  <c r="O13" i="39"/>
  <c r="N28" i="4"/>
  <c r="N22" i="4"/>
  <c r="N33" i="4" s="1"/>
  <c r="N34" i="4" s="1"/>
  <c r="E38" i="56"/>
  <c r="M38" i="56"/>
  <c r="F38" i="56"/>
  <c r="N38" i="56"/>
  <c r="G38" i="56"/>
  <c r="I38" i="56"/>
  <c r="J29" i="56"/>
  <c r="J38" i="56"/>
  <c r="C38" i="56"/>
  <c r="K38" i="56"/>
  <c r="D38" i="56"/>
  <c r="L38" i="56"/>
  <c r="G27" i="59"/>
  <c r="H27" i="59"/>
  <c r="I27" i="59"/>
  <c r="C27" i="59"/>
  <c r="K27" i="59"/>
  <c r="D27" i="59"/>
  <c r="L27" i="59"/>
  <c r="E27" i="59"/>
  <c r="M27" i="59"/>
  <c r="F27" i="59"/>
  <c r="N27" i="59"/>
  <c r="W53" i="71"/>
  <c r="P55" i="71"/>
  <c r="S46" i="64"/>
  <c r="N24" i="64"/>
  <c r="Q21" i="40"/>
  <c r="Q23" i="40" s="1"/>
  <c r="J28" i="4"/>
  <c r="J33" i="4" s="1"/>
  <c r="J34" i="4" s="1"/>
  <c r="I28" i="4"/>
  <c r="F110" i="23"/>
  <c r="F111" i="23" s="1"/>
  <c r="F112" i="23" s="1"/>
  <c r="I20" i="52"/>
  <c r="J12" i="52"/>
  <c r="J20" i="52"/>
  <c r="C20" i="52"/>
  <c r="K20" i="52"/>
  <c r="E20" i="52"/>
  <c r="M20" i="52"/>
  <c r="F20" i="52"/>
  <c r="N20" i="52"/>
  <c r="G20" i="52"/>
  <c r="H20" i="52"/>
  <c r="J20" i="57"/>
  <c r="Q21" i="28"/>
  <c r="L28" i="4"/>
  <c r="M21" i="55"/>
  <c r="I20" i="57"/>
  <c r="K22" i="36"/>
  <c r="C22" i="36"/>
  <c r="M20" i="38"/>
  <c r="E20" i="38"/>
  <c r="H20" i="57"/>
  <c r="Q46" i="64"/>
  <c r="T24" i="64"/>
  <c r="L24" i="64"/>
  <c r="K20" i="43"/>
  <c r="C20" i="43"/>
  <c r="F24" i="45"/>
  <c r="E14" i="46"/>
  <c r="M14" i="46"/>
  <c r="D14" i="46"/>
  <c r="L14" i="46"/>
  <c r="H19" i="47"/>
  <c r="G19" i="47"/>
  <c r="Q20" i="29"/>
  <c r="K28" i="4"/>
  <c r="K33" i="4" s="1"/>
  <c r="K34" i="4" s="1"/>
  <c r="I33" i="4"/>
  <c r="I34" i="4" s="1"/>
  <c r="R49" i="19"/>
  <c r="R50" i="19" s="1"/>
  <c r="L9" i="20"/>
  <c r="C4" i="20"/>
  <c r="F20" i="51"/>
  <c r="N20" i="51"/>
  <c r="G20" i="51"/>
  <c r="H20" i="51"/>
  <c r="J12" i="51"/>
  <c r="J20" i="51"/>
  <c r="C20" i="51"/>
  <c r="K20" i="51"/>
  <c r="D20" i="51"/>
  <c r="L20" i="51"/>
  <c r="E20" i="51"/>
  <c r="M20" i="51"/>
  <c r="G20" i="57"/>
  <c r="P46" i="64"/>
  <c r="S24" i="64"/>
  <c r="K24" i="64"/>
  <c r="J20" i="43"/>
  <c r="J11" i="43"/>
  <c r="Q56" i="5"/>
  <c r="H28" i="4"/>
  <c r="H33" i="4"/>
  <c r="H34" i="4" s="1"/>
  <c r="J12" i="55"/>
  <c r="J21" i="55"/>
  <c r="C21" i="55"/>
  <c r="K21" i="55"/>
  <c r="D21" i="55"/>
  <c r="L21" i="55"/>
  <c r="F21" i="55"/>
  <c r="N21" i="55"/>
  <c r="G21" i="55"/>
  <c r="H21" i="55"/>
  <c r="I21" i="55"/>
  <c r="K6" i="9"/>
  <c r="M6" i="9"/>
  <c r="P21" i="30"/>
  <c r="P64" i="71"/>
  <c r="S66" i="71" s="1"/>
  <c r="J24" i="64"/>
  <c r="R72" i="5"/>
  <c r="G28" i="4"/>
  <c r="G33" i="4" s="1"/>
  <c r="G34" i="4" s="1"/>
  <c r="Q24" i="4"/>
  <c r="M52" i="23"/>
  <c r="W33" i="25"/>
  <c r="P35" i="25"/>
  <c r="F20" i="57"/>
  <c r="J20" i="38"/>
  <c r="M20" i="57"/>
  <c r="Q24" i="64"/>
  <c r="H14" i="46"/>
  <c r="R68" i="5"/>
  <c r="F28" i="4"/>
  <c r="F33" i="4" s="1"/>
  <c r="F34" i="4" s="1"/>
  <c r="P42" i="18"/>
  <c r="P43" i="18" s="1"/>
  <c r="P16" i="50"/>
  <c r="C20" i="37"/>
  <c r="K20" i="37"/>
  <c r="D20" i="37"/>
  <c r="L20" i="37"/>
  <c r="E20" i="37"/>
  <c r="M20" i="37"/>
  <c r="G20" i="37"/>
  <c r="H20" i="37"/>
  <c r="I20" i="37"/>
  <c r="J11" i="37"/>
  <c r="J20" i="37"/>
  <c r="D20" i="53"/>
  <c r="L20" i="53"/>
  <c r="E20" i="53"/>
  <c r="M20" i="53"/>
  <c r="F20" i="53"/>
  <c r="N20" i="53"/>
  <c r="H20" i="53"/>
  <c r="I20" i="53"/>
  <c r="J12" i="53"/>
  <c r="J20" i="53"/>
  <c r="C20" i="53"/>
  <c r="K20" i="53"/>
  <c r="J66" i="71"/>
  <c r="J42" i="71"/>
  <c r="P42" i="71" s="1"/>
  <c r="P45" i="71" s="1"/>
  <c r="S45" i="71" s="1"/>
  <c r="D32" i="22"/>
  <c r="J15" i="66"/>
  <c r="P15" i="66" s="1"/>
  <c r="N20" i="54"/>
  <c r="F20" i="54"/>
  <c r="J28" i="25"/>
  <c r="I25" i="25"/>
  <c r="M13" i="31"/>
  <c r="E13" i="31"/>
  <c r="N13" i="41"/>
  <c r="F13" i="41"/>
  <c r="O13" i="41" s="1"/>
  <c r="M20" i="54"/>
  <c r="E20" i="54"/>
  <c r="L13" i="31"/>
  <c r="D13" i="31"/>
  <c r="P38" i="21"/>
  <c r="L20" i="54"/>
  <c r="D20" i="54"/>
  <c r="M66" i="71"/>
  <c r="K13" i="31"/>
  <c r="C13" i="31"/>
  <c r="O13" i="31" s="1"/>
  <c r="M28" i="25"/>
  <c r="E28" i="25"/>
  <c r="H13" i="31"/>
  <c r="H20" i="54"/>
  <c r="L28" i="25"/>
  <c r="D28" i="25"/>
  <c r="O28" i="25" s="1"/>
  <c r="G13" i="31"/>
  <c r="K15" i="66"/>
  <c r="K28" i="25"/>
  <c r="N13" i="31"/>
  <c r="O14" i="47" l="1"/>
  <c r="O16" i="47" s="1"/>
  <c r="O19" i="47"/>
  <c r="O21" i="47" s="1"/>
  <c r="O14" i="65"/>
  <c r="O17" i="65" s="1"/>
  <c r="L13" i="20"/>
  <c r="L14" i="20" s="1"/>
  <c r="M11" i="20"/>
  <c r="M12" i="20"/>
  <c r="Q23" i="28"/>
  <c r="U13" i="28"/>
  <c r="O14" i="68"/>
  <c r="R74" i="5"/>
  <c r="Y73" i="5" s="1"/>
  <c r="P31" i="22"/>
  <c r="P32" i="22" s="1"/>
  <c r="R104" i="5"/>
  <c r="R106" i="5" s="1"/>
  <c r="R107" i="5" s="1"/>
  <c r="R69" i="5"/>
  <c r="U69" i="5" s="1"/>
  <c r="R83" i="5"/>
  <c r="R84" i="5" s="1"/>
  <c r="O20" i="59"/>
  <c r="H38" i="56"/>
  <c r="O38" i="56" s="1"/>
  <c r="C32" i="56"/>
  <c r="E32" i="56"/>
  <c r="D32" i="56"/>
  <c r="O15" i="55"/>
  <c r="O17" i="55" s="1"/>
  <c r="O15" i="54"/>
  <c r="O17" i="54" s="1"/>
  <c r="O20" i="54"/>
  <c r="O22" i="54" s="1"/>
  <c r="O15" i="53"/>
  <c r="O17" i="53" s="1"/>
  <c r="O15" i="52"/>
  <c r="O17" i="52" s="1"/>
  <c r="O15" i="51"/>
  <c r="O17" i="51" s="1"/>
  <c r="O14" i="37"/>
  <c r="O16" i="37" s="1"/>
  <c r="P10" i="66"/>
  <c r="H110" i="23"/>
  <c r="H111" i="23" s="1"/>
  <c r="H112" i="23" s="1"/>
  <c r="J110" i="23"/>
  <c r="J111" i="23" s="1"/>
  <c r="J112" i="23" s="1"/>
  <c r="I110" i="23"/>
  <c r="I111" i="23" s="1"/>
  <c r="I112" i="23" s="1"/>
  <c r="O110" i="23"/>
  <c r="O111" i="23" s="1"/>
  <c r="O112" i="23" s="1"/>
  <c r="N110" i="23"/>
  <c r="N111" i="23" s="1"/>
  <c r="N112" i="23" s="1"/>
  <c r="M110" i="23"/>
  <c r="M111" i="23" s="1"/>
  <c r="M112" i="23" s="1"/>
  <c r="P62" i="23"/>
  <c r="P63" i="23" s="1"/>
  <c r="M60" i="23"/>
  <c r="G110" i="23"/>
  <c r="G111" i="23" s="1"/>
  <c r="G112" i="23" s="1"/>
  <c r="L110" i="23"/>
  <c r="L111" i="23" s="1"/>
  <c r="L112" i="23" s="1"/>
  <c r="K110" i="23"/>
  <c r="K111" i="23" s="1"/>
  <c r="K112" i="23" s="1"/>
  <c r="J62" i="23"/>
  <c r="J63" i="23"/>
  <c r="U62" i="23"/>
  <c r="U63" i="23" s="1"/>
  <c r="O42" i="35"/>
  <c r="P66" i="71"/>
  <c r="P68" i="71" s="1"/>
  <c r="P69" i="71" s="1"/>
  <c r="O16" i="48"/>
  <c r="O20" i="48"/>
  <c r="O22" i="48" s="1"/>
  <c r="O29" i="45"/>
  <c r="O31" i="45" s="1"/>
  <c r="O24" i="45"/>
  <c r="O14" i="43"/>
  <c r="O14" i="38"/>
  <c r="K38" i="34"/>
  <c r="G38" i="34"/>
  <c r="H38" i="34"/>
  <c r="I38" i="34"/>
  <c r="J38" i="34"/>
  <c r="J11" i="34"/>
  <c r="C38" i="34"/>
  <c r="D38" i="34"/>
  <c r="L38" i="34"/>
  <c r="M38" i="34"/>
  <c r="N38" i="34"/>
  <c r="E38" i="34"/>
  <c r="F38" i="34"/>
  <c r="O38" i="34" s="1"/>
  <c r="O40" i="34" s="1"/>
  <c r="O16" i="36"/>
  <c r="O18" i="36" s="1"/>
  <c r="O22" i="36"/>
  <c r="O24" i="36" s="1"/>
  <c r="AA63" i="23"/>
  <c r="X64" i="23"/>
  <c r="V57" i="64"/>
  <c r="V97" i="64"/>
  <c r="L57" i="64"/>
  <c r="L97" i="64"/>
  <c r="Q57" i="64"/>
  <c r="Q97" i="64"/>
  <c r="P57" i="64"/>
  <c r="P97" i="64"/>
  <c r="U97" i="64"/>
  <c r="U57" i="64"/>
  <c r="M57" i="64"/>
  <c r="M97" i="64"/>
  <c r="V93" i="64"/>
  <c r="S57" i="64"/>
  <c r="S97" i="64"/>
  <c r="O20" i="37"/>
  <c r="O22" i="37" s="1"/>
  <c r="O21" i="55"/>
  <c r="O23" i="55" s="1"/>
  <c r="O20" i="43"/>
  <c r="O22" i="43" s="1"/>
  <c r="O20" i="57"/>
  <c r="O22" i="57" s="1"/>
  <c r="O24" i="42"/>
  <c r="O26" i="42" s="1"/>
  <c r="M53" i="23"/>
  <c r="M62" i="23"/>
  <c r="O14" i="46"/>
  <c r="O16" i="46" s="1"/>
  <c r="K87" i="5"/>
  <c r="J90" i="5"/>
  <c r="O18" i="68"/>
  <c r="O20" i="53"/>
  <c r="O22" i="53" s="1"/>
  <c r="P38" i="16"/>
  <c r="O14" i="44"/>
  <c r="O16" i="44" s="1"/>
  <c r="L33" i="4"/>
  <c r="L34" i="4" s="1"/>
  <c r="O20" i="65"/>
  <c r="O22" i="65" s="1"/>
  <c r="E112" i="23"/>
  <c r="Q22" i="4"/>
  <c r="Q33" i="4" s="1"/>
  <c r="D33" i="4"/>
  <c r="D34" i="4" s="1"/>
  <c r="O20" i="51"/>
  <c r="O22" i="51" s="1"/>
  <c r="O20" i="38"/>
  <c r="O22" i="38" s="1"/>
  <c r="O20" i="52"/>
  <c r="O22" i="52" s="1"/>
  <c r="O27" i="59"/>
  <c r="O29" i="59" s="1"/>
  <c r="E33" i="4"/>
  <c r="E34" i="4" s="1"/>
  <c r="O22" i="34"/>
  <c r="O27" i="34" s="1"/>
  <c r="O22" i="59" l="1"/>
  <c r="S21" i="59"/>
  <c r="S20" i="59"/>
  <c r="O32" i="56"/>
  <c r="O34" i="56" s="1"/>
  <c r="Q111" i="23"/>
  <c r="Q112" i="23" s="1"/>
  <c r="M63" i="23"/>
  <c r="R64" i="23"/>
  <c r="O26" i="45"/>
  <c r="B7" i="45"/>
  <c r="Q34" i="4"/>
  <c r="Q35" i="4" s="1"/>
  <c r="L87" i="5"/>
  <c r="K90" i="5"/>
  <c r="M87" i="5" l="1"/>
  <c r="L90" i="5"/>
  <c r="M90" i="5" l="1"/>
  <c r="N87" i="5"/>
  <c r="N90" i="5" l="1"/>
  <c r="O87" i="5"/>
  <c r="P87" i="5" l="1"/>
  <c r="O90" i="5"/>
  <c r="Q87" i="5" l="1"/>
  <c r="Q90" i="5" s="1"/>
  <c r="P90" i="5"/>
  <c r="R90" i="5" l="1"/>
  <c r="R91" i="5" s="1"/>
  <c r="R9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tc={B0A9739E-3C26-46E9-8381-6D8E83C3F619}</author>
  </authors>
  <commentList>
    <comment ref="J8" authorId="0" shapeId="0" xr:uid="{B0A9739E-3C26-46E9-8381-6D8E83C3F619}">
      <text>
        <t>[Threaded comment]
Your version of Excel allows you to read this threaded comment; however, any edits to it will get removed if the file is opened in a newer version of Excel. Learn more: https://go.microsoft.com/fwlink/?linkid=870924
Comment:
    年契約・・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tc={8F3A8EED-0B40-4CC7-ACDB-A275A971043C}</author>
  </authors>
  <commentList>
    <comment ref="I3" authorId="0" shapeId="0" xr:uid="{8F3A8EED-0B40-4CC7-ACDB-A275A971043C}">
      <text>
        <t>[Threaded comment]
Your version of Excel allows you to read this threaded comment; however, any edits to it will get removed if the file is opened in a newer version of Excel. Learn more: https://go.microsoft.com/fwlink/?linkid=870924
Comment:
    リプレース分はリプレース準備費用に含めている
200の根拠：入社予定者＋外注分＋バッファ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tc={32B96E60-D6E9-4E0C-B03E-DEA1F57DD151}</author>
    <author>tc={0AE9A774-ECA4-4644-B08C-7A76185850D1}</author>
    <author>tc={FDC49DFE-E599-4E71-9CE5-2C13836CD505}</author>
  </authors>
  <commentList>
    <comment ref="H5" authorId="0" shapeId="0" xr:uid="{32B96E60-D6E9-4E0C-B03E-DEA1F57DD1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2024年10月から以下へ値上げ
基本料金：3,000→3,150
アカウント利用料金：80→84
2024年8月時点のアカウント利用料金の追加実績
2023年12月：1297
2024年8月：1595
より、年間約500で算出</t>
      </text>
    </comment>
    <comment ref="L5" authorId="1" shapeId="0" xr:uid="{0AE9A774-ECA4-4644-B08C-7A76185850D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2024年10月から以下へ値上げ
基本料金：3,000→3,150
アカウント利用料金：80→84
2024年8月時点のアカウント利用料金の追加実績
2023年12月：1297
2024年8月：1595
より、年間約500で算出</t>
      </text>
    </comment>
    <comment ref="H29" authorId="2" shapeId="0" xr:uid="{FDC49DFE-E599-4E71-9CE5-2C13836CD50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2024年10月から以下へ値上げ
基本料金：3,000→3,150
アカウント利用料金：80→84
2024年8月時点のアカウント利用料金の追加実績
2023年12月：1297
2024年8月：1595
より、年間約500で算出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tc={3EA53933-0710-4ED4-9F6A-C667607F3E61}</author>
  </authors>
  <commentList>
    <comment ref="H7" authorId="0" shapeId="0" xr:uid="{3EA53933-0710-4ED4-9F6A-C667607F3E61}">
      <text>
        <t>[Threaded comment]
Your version of Excel allows you to read this threaded comment; however, any edits to it will get removed if the file is opened in a newer version of Excel. Learn more: https://go.microsoft.com/fwlink/?linkid=870924
Comment:
    参考URLから
OS:Pro
カメラ：IRカメラ対応
指紋：指紋対応
等に変更した場合のおおよその価格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tc={D8E455CE-B36E-430A-941F-C7B80B9F3845}</author>
    <author>tc={886F776E-7896-4008-A2EB-E81FB3B14907}</author>
    <author>tc={619CCF7E-2F0D-4ABE-B55B-4E0870292C10}</author>
    <author>tc={32658A9E-8D73-442F-9078-26D2C1E79A4A}</author>
    <author>tc={EB50D11F-9025-4571-B1F2-84F9F669DB9C}</author>
    <author>tc={1832F6AF-ACC5-410C-97AE-6D97AB06AB90}</author>
    <author>tc={6A048EBF-4DCE-46D6-95B9-3C325B73B75F}</author>
    <author>tc={1273852C-201F-43CA-A365-AED923AC83D3}</author>
    <author>tc={1451640C-D100-4143-B80E-398B31CB1017}</author>
    <author>tc={F02A201E-A7E9-4DE4-A898-80F761541D28}</author>
    <author>tc={BB170C5C-2424-4BEC-B452-66B5BBFDBF22}</author>
    <author>tc={5D85ED97-F2BF-4AC8-B4B8-D3D9464A6267}</author>
  </authors>
  <commentList>
    <comment ref="D20" authorId="0" shapeId="0" xr:uid="{D8E455CE-B36E-430A-941F-C7B80B9F3845}">
      <text>
        <t>[Threaded comment]
Your version of Excel allows you to read this threaded comment; however, any edits to it will get removed if the file is opened in a newer version of Excel. Learn more: https://go.microsoft.com/fwlink/?linkid=870924
Comment:
    70から増えるようなら修正してください</t>
      </text>
    </comment>
    <comment ref="D21" authorId="1" shapeId="0" xr:uid="{886F776E-7896-4008-A2EB-E81FB3B14907}">
      <text>
        <t>[Threaded comment]
Your version of Excel allows you to read this threaded comment; however, any edits to it will get removed if the file is opened in a newer version of Excel. Learn more: https://go.microsoft.com/fwlink/?linkid=870924
Comment:
    数が変動するようなら、変更してください</t>
      </text>
    </comment>
    <comment ref="E22" authorId="2" shapeId="0" xr:uid="{619CCF7E-2F0D-4ABE-B55B-4E0870292C10}">
      <text>
        <t>[Threaded comment]
Your version of Excel allows you to read this threaded comment; however, any edits to it will get removed if the file is opened in a newer version of Excel. Learn more: https://go.microsoft.com/fwlink/?linkid=870924
Comment:
    現状のレンタル費用に上乗せしている
必要に応じて見直ししてください</t>
      </text>
    </comment>
    <comment ref="G22" authorId="3" shapeId="0" xr:uid="{32658A9E-8D73-442F-9078-26D2C1E79A4A}">
      <text>
        <t>[Threaded comment]
Your version of Excel allows you to read this threaded comment; however, any edits to it will get removed if the file is opened in a newer version of Excel. Learn more: https://go.microsoft.com/fwlink/?linkid=870924
Comment:
    念のため確認</t>
      </text>
    </comment>
    <comment ref="D40" authorId="4" shapeId="0" xr:uid="{EB50D11F-9025-4571-B1F2-84F9F669DB9C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41" authorId="5" shapeId="0" xr:uid="{1832F6AF-ACC5-410C-97AE-6D97AB06AB90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D80" authorId="6" shapeId="0" xr:uid="{6A048EBF-4DCE-46D6-95B9-3C325B73B75F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81" authorId="7" shapeId="0" xr:uid="{1273852C-201F-43CA-A365-AED923AC83D3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D121" authorId="8" shapeId="0" xr:uid="{1451640C-D100-4143-B80E-398B31CB1017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122" authorId="9" shapeId="0" xr:uid="{F02A201E-A7E9-4DE4-A898-80F761541D28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E143" authorId="10" shapeId="0" xr:uid="{BB170C5C-2424-4BEC-B452-66B5BBFDBF22}">
      <text>
        <t>[Threaded comment]
Your version of Excel allows you to read this threaded comment; however, any edits to it will get removed if the file is opened in a newer version of Excel. Learn more: https://go.microsoft.com/fwlink/?linkid=870924
Comment:
    70から増えるようなら修正してください</t>
      </text>
    </comment>
    <comment ref="E144" authorId="11" shapeId="0" xr:uid="{5D85ED97-F2BF-4AC8-B4B8-D3D9464A6267}">
      <text>
        <t>[Threaded comment]
Your version of Excel allows you to read this threaded comment; however, any edits to it will get removed if the file is opened in a newer version of Excel. Learn more: https://go.microsoft.com/fwlink/?linkid=870924
Comment:
    数が変動するようなら、変更してください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tc={DA80BCB4-CF40-44C8-91D5-8DBEE2DC39B7}</author>
    <author>tc={ABDDF5EA-180F-49CC-B63C-252BE6136641}</author>
    <author>tc={B544B822-2800-4B2F-A8FC-D75A2437763A}</author>
    <author>tc={A9F82336-1A28-417E-8EDE-B5BA5C1F972A}</author>
    <author>tc={2469B898-B768-4499-B205-53105E9444F7}</author>
    <author>tc={810352A1-C611-42C4-9D8B-CFFDDF95AE17}</author>
    <author>tc={8DE16458-401F-4BA7-8347-10E13B23DD8B}</author>
    <author>tc={A8CA4B71-29AD-479E-BB9B-9144E12E6293}</author>
    <author>tc={95811747-A71E-4BA3-AA8E-CF747D5865C4}</author>
    <author>tc={5DD5D0C7-58BC-49F6-BBF6-D23BFF60B770}</author>
    <author>tc={CBC9CA9D-8EE9-4764-93E6-30D23F161881}</author>
    <author>tc={D584EA71-C20D-449B-B77D-85ADD8E15227}</author>
  </authors>
  <commentList>
    <comment ref="D20" authorId="0" shapeId="0" xr:uid="{DA80BCB4-CF40-44C8-91D5-8DBEE2DC39B7}">
      <text>
        <t>[Threaded comment]
Your version of Excel allows you to read this threaded comment; however, any edits to it will get removed if the file is opened in a newer version of Excel. Learn more: https://go.microsoft.com/fwlink/?linkid=870924
Comment:
    70から増えるようなら修正してください</t>
      </text>
    </comment>
    <comment ref="D21" authorId="1" shapeId="0" xr:uid="{ABDDF5EA-180F-49CC-B63C-252BE6136641}">
      <text>
        <t>[Threaded comment]
Your version of Excel allows you to read this threaded comment; however, any edits to it will get removed if the file is opened in a newer version of Excel. Learn more: https://go.microsoft.com/fwlink/?linkid=870924
Comment:
    数が変動するようなら、変更してください</t>
      </text>
    </comment>
    <comment ref="E22" authorId="2" shapeId="0" xr:uid="{B544B822-2800-4B2F-A8FC-D75A2437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現状のレンタル費用に上乗せしている
必要に応じて見直ししてください</t>
      </text>
    </comment>
    <comment ref="G22" authorId="3" shapeId="0" xr:uid="{A9F82336-1A28-417E-8EDE-B5BA5C1F972A}">
      <text>
        <t>[Threaded comment]
Your version of Excel allows you to read this threaded comment; however, any edits to it will get removed if the file is opened in a newer version of Excel. Learn more: https://go.microsoft.com/fwlink/?linkid=870924
Comment:
    念のため確認</t>
      </text>
    </comment>
    <comment ref="D40" authorId="4" shapeId="0" xr:uid="{2469B898-B768-4499-B205-53105E9444F7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41" authorId="5" shapeId="0" xr:uid="{810352A1-C611-42C4-9D8B-CFFDDF95AE17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D80" authorId="6" shapeId="0" xr:uid="{8DE16458-401F-4BA7-8347-10E13B23DD8B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81" authorId="7" shapeId="0" xr:uid="{A8CA4B71-29AD-479E-BB9B-9144E12E6293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D121" authorId="8" shapeId="0" xr:uid="{95811747-A71E-4BA3-AA8E-CF747D5865C4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台数が増えるようなら変更してください</t>
      </text>
    </comment>
    <comment ref="D122" authorId="9" shapeId="0" xr:uid="{5DD5D0C7-58BC-49F6-BBF6-D23BFF60B770}">
      <text>
        <t>[Threaded comment]
Your version of Excel allows you to read this threaded comment; however, any edits to it will get removed if the file is opened in a newer version of Excel. Learn more: https://go.microsoft.com/fwlink/?linkid=870924
Comment:
    台数が増えるなら修正してください</t>
      </text>
    </comment>
    <comment ref="E143" authorId="10" shapeId="0" xr:uid="{CBC9CA9D-8EE9-4764-93E6-30D23F161881}">
      <text>
        <t>[Threaded comment]
Your version of Excel allows you to read this threaded comment; however, any edits to it will get removed if the file is opened in a newer version of Excel. Learn more: https://go.microsoft.com/fwlink/?linkid=870924
Comment:
    70から増えるようなら修正してください</t>
      </text>
    </comment>
    <comment ref="E144" authorId="11" shapeId="0" xr:uid="{D584EA71-C20D-449B-B77D-85ADD8E15227}">
      <text>
        <t>[Threaded comment]
Your version of Excel allows you to read this threaded comment; however, any edits to it will get removed if the file is opened in a newer version of Excel. Learn more: https://go.microsoft.com/fwlink/?linkid=870924
Comment:
    数が変動するようなら、変更してください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tc={BF01A3D4-B402-4831-84C1-2D41609EBB16}</author>
    <author>tc={FEF4EF87-4DC0-4E28-A6E2-A16B9B25A7C5}</author>
    <author>tc={13DFAE92-7543-4349-9E24-9A26B862ADCB}</author>
    <author>tc={323F57B6-1B9B-4DDB-BBF5-047FEFEF5FE3}</author>
    <author>tc={C38D6703-C4CA-47F5-AF86-B9E531CFA009}</author>
  </authors>
  <commentList>
    <comment ref="E3" authorId="0" shapeId="0" xr:uid="{BF01A3D4-B402-4831-84C1-2D41609EBB16}">
      <text>
        <t>[Threaded comment]
Your version of Excel allows you to read this threaded comment; however, any edits to it will get removed if the file is opened in a newer version of Excel. Learn more: https://go.microsoft.com/fwlink/?linkid=870924
Comment:
    FCI：10
FMI：30（2024年度追加実績ベース）</t>
      </text>
    </comment>
    <comment ref="D9" authorId="1" shapeId="0" xr:uid="{FEF4EF87-4DC0-4E28-A6E2-A16B9B25A7C5}">
      <text>
        <t>[Threaded comment]
Your version of Excel allows you to read this threaded comment; however, any edits to it will get removed if the file is opened in a newer version of Excel. Learn more: https://go.microsoft.com/fwlink/?linkid=870924
Comment:
    10ライセンス当たり、79,300円</t>
      </text>
    </comment>
    <comment ref="G9" authorId="2" shapeId="0" xr:uid="{13DFAE92-7543-4349-9E24-9A26B862ADCB}">
      <text>
        <t>[Threaded comment]
Your version of Excel allows you to read this threaded comment; however, any edits to it will get removed if the file is opened in a newer version of Excel. Learn more: https://go.microsoft.com/fwlink/?linkid=870924
Comment:
    10ライセンス当たり、79,300円</t>
      </text>
    </comment>
    <comment ref="D10" authorId="3" shapeId="0" xr:uid="{323F57B6-1B9B-4DDB-BBF5-047FEFEF5F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13ヶ月で15,300円
</t>
      </text>
    </comment>
    <comment ref="G10" authorId="4" shapeId="0" xr:uid="{C38D6703-C4CA-47F5-AF86-B9E531CFA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13ヶ月で15,300円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tc={7A77D9B9-4ED7-4B47-8B5B-E756BB653B87}</author>
  </authors>
  <commentList>
    <comment ref="H7" authorId="0" shapeId="0" xr:uid="{7A77D9B9-4ED7-4B47-8B5B-E756BB653B87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値上りを考慮して、2024年度の月額費用よりも多少多めに見ている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tc={F21CE850-DB30-4A26-9637-6A6931B851A0}</author>
  </authors>
  <commentList>
    <comment ref="H7" authorId="0" shapeId="0" xr:uid="{F21CE850-DB30-4A26-9637-6A6931B851A0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値上りを考慮して、2024年度の月額費用よりも多少多めに見ている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tc={874D40E1-6759-42A9-BA77-B5843CDC2873}</author>
    <author>tc={F7289173-5EAC-4078-9909-A65B3415752A}</author>
    <author>tc={2AFBAF80-FAD5-44C9-B364-2B67B1E8D6B8}</author>
    <author>tc={5EB5F229-D8D9-4F47-8793-B4231F904A13}</author>
    <author>tc={54AB9399-E36C-495A-B25A-20AABFB74CCD}</author>
    <author>tc={FD7FDE08-67D6-49E4-905E-AFC0C0CC1DB8}</author>
  </authors>
  <commentList>
    <comment ref="I7" authorId="0" shapeId="0" xr:uid="{874D40E1-6759-42A9-BA77-B5843CDC287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2025年契約更新時から価格改定予定（約10%）
各ライセンスごとに前回の金額から10%しています。
必要に応じて金額と数量の修正をお願いします</t>
      </text>
    </comment>
    <comment ref="J10" authorId="1" shapeId="0" xr:uid="{F7289173-5EAC-4078-9909-A65B341575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既存の契約500に100追加する場合
</t>
      </text>
    </comment>
    <comment ref="E19" authorId="2" shapeId="0" xr:uid="{2AFBAF80-FAD5-44C9-B364-2B67B1E8D6B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2025年契約更新時から価格改定予定（約10%）
各ライセンスごとに前回の金額から10%しています。
必要に応じて金額と数量の修正をお願いします</t>
      </text>
    </comment>
    <comment ref="I19" authorId="3" shapeId="0" xr:uid="{5EB5F229-D8D9-4F47-8793-B4231F904A1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2025年契約更新時から価格改定予定（約10%）
各ライセンスごとに前回の金額から10%しています。
必要に応じて金額と数量の修正をお願いします</t>
      </text>
    </comment>
    <comment ref="I56" authorId="4" shapeId="0" xr:uid="{54AB9399-E36C-495A-B25A-20AABFB74CC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2025年契約更新時から価格改定予定（約10%）
各ライセンスごとに前回の金額から10%しています。
必要に応じて金額と数量の修正をお願いします</t>
      </text>
    </comment>
    <comment ref="J59" authorId="5" shapeId="0" xr:uid="{FD7FDE08-67D6-49E4-905E-AFC0C0CC1D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既存の契約500に100追加する場合
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tc={528D3912-9303-4636-9940-6500CECB6D4C}</author>
    <author>tc={45FBB892-A5C7-4E5D-91FB-0DA4CD03BB1F}</author>
    <author>tc={75B72FB6-F605-45FF-886B-090DE4832801}</author>
    <author>tc={CA168E05-4A9D-4EA0-878B-1BE3A877B690}</author>
  </authors>
  <commentList>
    <comment ref="F17" authorId="0" shapeId="0" xr:uid="{528D3912-9303-4636-9940-6500CECB6D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2024年度と同額</t>
      </text>
    </comment>
    <comment ref="I25" authorId="1" shapeId="0" xr:uid="{45FBB892-A5C7-4E5D-91FB-0DA4CD03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月額費用をきりがいい金額にして、17万になっています</t>
      </text>
    </comment>
    <comment ref="F58" authorId="2" shapeId="0" xr:uid="{75B72FB6-F605-45FF-886B-090DE483280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2024年度と同額</t>
      </text>
    </comment>
    <comment ref="I66" authorId="3" shapeId="0" xr:uid="{CA168E05-4A9D-4EA0-878B-1BE3A877B690}">
      <text>
        <t>[Threaded comment]
Your version of Excel allows you to read this threaded comment; however, any edits to it will get removed if the file is opened in a newer version of Excel. Learn more: https://go.microsoft.com/fwlink/?linkid=870924
Comment:
    月額費用をきりがいい金額にして、17万になっています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tc={8B896872-4AAB-4D51-9704-45760FA21B44}</author>
  </authors>
  <commentList>
    <comment ref="H7" authorId="0" shapeId="0" xr:uid="{8B896872-4AAB-4D51-9704-45760FA21B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2023年～2024年の月額費用が2000円増のため、バッファをみて、月額82万にしている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tc={4FEBDAC6-A92B-4FA9-A3DC-4005B5C33D25}</author>
    <author>tc={83917F75-EF18-46F2-87F5-FCAF10158C43}</author>
    <author>tc={E31A3EDA-707B-4018-9E2A-B80C6BD1B867}</author>
    <author>tc={3D4EF6B0-60C9-4235-B11E-38C600824057}</author>
  </authors>
  <commentList>
    <comment ref="D6" authorId="0" shapeId="0" xr:uid="{4FEBDAC6-A92B-4FA9-A3DC-4005B5C3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前年*1.2倍している</t>
      </text>
    </comment>
    <comment ref="D8" authorId="1" shapeId="0" xr:uid="{83917F75-EF18-46F2-87F5-FCAF10158C43}">
      <text>
        <t>[Threaded comment]
Your version of Excel allows you to read this threaded comment; however, any edits to it will get removed if the file is opened in a newer version of Excel. Learn more: https://go.microsoft.com/fwlink/?linkid=870924
Comment:
    きりがいい数字を月額予算にてしている</t>
      </text>
    </comment>
    <comment ref="E8" authorId="2" shapeId="0" xr:uid="{E31A3EDA-707B-4018-9E2A-B80C6BD1B8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9月以降は1.1倍で予算化
</t>
      </text>
    </comment>
    <comment ref="C21" authorId="3" shapeId="0" xr:uid="{3D4EF6B0-60C9-4235-B11E-38C600824057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tc={E869982A-EA52-42AA-8F6C-32E149DA044D}</author>
    <author>tc={E00D06E7-92D9-4ECF-A3CC-6A068266D97F}</author>
    <author>tc={5F4B64C4-8A40-43EF-B238-EE459C635727}</author>
    <author>tc={AD8D3C07-77E0-4E9C-9528-726F5B4CC528}</author>
  </authors>
  <commentList>
    <comment ref="I4" authorId="0" shapeId="0" xr:uid="{E869982A-EA52-42AA-8F6C-32E149DA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AcrobatSTD2020のサポートが2025年6月1日にサポート終了するため、サブスク版で予算を計上</t>
      </text>
    </comment>
    <comment ref="L8" authorId="1" shapeId="0" xr:uid="{E00D06E7-92D9-4ECF-A3CC-6A068266D97F}">
      <text>
        <t>[Threaded comment]
Your version of Excel allows you to read this threaded comment; however, any edits to it will get removed if the file is opened in a newer version of Excel. Learn more: https://go.microsoft.com/fwlink/?linkid=870924
Comment:
    きりのいい数字を月額費用として計上</t>
      </text>
    </comment>
    <comment ref="I25" authorId="2" shapeId="0" xr:uid="{5F4B64C4-8A40-43EF-B238-EE459C63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AcrobatSTD2020のサポートが2025年6月1日にサポート終了するため、サブスク版で予算を計上</t>
      </text>
    </comment>
    <comment ref="L29" authorId="3" shapeId="0" xr:uid="{AD8D3C07-77E0-4E9C-9528-726F5B4CC528}">
      <text>
        <t>[Threaded comment]
Your version of Excel allows you to read this threaded comment; however, any edits to it will get removed if the file is opened in a newer version of Excel. Learn more: https://go.microsoft.com/fwlink/?linkid=870924
Comment:
    きりのいい数字を月額費用として計上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tc={B8AEB0B8-E23F-42AE-8BAD-41919FCDF274}</author>
    <author>tc={1792C790-89FD-4C34-A032-411AFC828B3D}</author>
  </authors>
  <commentList>
    <comment ref="I22" authorId="0" shapeId="0" xr:uid="{B8AEB0B8-E23F-42AE-8BAD-41919FCDF27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  <comment ref="N25" authorId="1" shapeId="0" xr:uid="{1792C790-89FD-4C34-A032-411AFC828B3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tc={2B724465-CC25-4339-8B20-B88C4F1D9F58}</author>
    <author>tc={83611DEE-D936-4224-94EE-F62622D1CBAD}</author>
    <author>tc={E1A1498F-D1D1-491D-92C5-2FCCEAA94799}</author>
    <author>tc={B0428709-6995-4939-8531-B01EFB477AAD}</author>
  </authors>
  <commentList>
    <comment ref="I8" authorId="0" shapeId="0" xr:uid="{2B724465-CC25-4339-8B20-B88C4F1D9F5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  <comment ref="J8" authorId="1" shapeId="0" xr:uid="{83611DEE-D936-4224-94EE-F62622D1CBAD}">
      <text>
        <t>[Threaded comment]
Your version of Excel allows you to read this threaded comment; however, any edits to it will get removed if the file is opened in a newer version of Excel. Learn more: https://go.microsoft.com/fwlink/?linkid=870924
Comment:
    プラス1した5でとりあえず予算化</t>
      </text>
    </comment>
    <comment ref="O8" authorId="2" shapeId="0" xr:uid="{E1A1498F-D1D1-491D-92C5-2FCCEAA94799}">
      <text>
        <t>[Threaded comment]
Your version of Excel allows you to read this threaded comment; however, any edits to it will get removed if the file is opened in a newer version of Excel. Learn more: https://go.microsoft.com/fwlink/?linkid=870924
Comment:
    プラス1した5でとりあえず予算化</t>
      </text>
    </comment>
    <comment ref="L9" authorId="3" shapeId="0" xr:uid="{B0428709-6995-4939-8531-B01EFB477AAD}">
      <text>
        <t>[Threaded comment]
Your version of Excel allows you to read this threaded comment; however, any edits to it will get removed if the file is opened in a newer version of Excel. Learn more: https://go.microsoft.com/fwlink/?linkid=870924
Comment:
    切りのいい数字で予算化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tc={5E8AA32E-C58F-4224-9EB6-542071925B95}</author>
    <author>tc={43DECC2A-51FE-49F5-9CC1-05B7576645CA}</author>
    <author>tc={043F2581-7668-43FF-A21F-C4B2CBFC2AD5}</author>
  </authors>
  <commentList>
    <comment ref="I8" authorId="0" shapeId="0" xr:uid="{5E8AA32E-C58F-4224-9EB6-542071925B9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  <comment ref="J8" authorId="1" shapeId="0" xr:uid="{43DECC2A-51FE-49F5-9CC1-05B7576645CA}">
      <text>
        <t>[Threaded comment]
Your version of Excel allows you to read this threaded comment; however, any edits to it will get removed if the file is opened in a newer version of Excel. Learn more: https://go.microsoft.com/fwlink/?linkid=870924
Comment:
    プラス15した30でとりあえず予算化</t>
      </text>
    </comment>
    <comment ref="D15" authorId="2" shapeId="0" xr:uid="{043F2581-7668-43FF-A21F-C4B2CBFC2AD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tc={1313D39C-BC93-46AA-9DD3-E520968027FD}</author>
    <author>tc={63616785-9ACC-436F-BB5A-0FAD3A830D4D}</author>
    <author>tc={63F74660-F0D8-4070-A883-0EC4A138B13E}</author>
  </authors>
  <commentList>
    <comment ref="I8" authorId="0" shapeId="0" xr:uid="{1313D39C-BC93-46AA-9DD3-E520968027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2024年度の1.2倍
</t>
      </text>
    </comment>
    <comment ref="L9" authorId="1" shapeId="0" xr:uid="{63616785-9ACC-436F-BB5A-0FAD3A830D4D}">
      <text>
        <t>[Threaded comment]
Your version of Excel allows you to read this threaded comment; however, any edits to it will get removed if the file is opened in a newer version of Excel. Learn more: https://go.microsoft.com/fwlink/?linkid=870924
Comment:
    切りのいい数字で予算化</t>
      </text>
    </comment>
    <comment ref="D16" authorId="2" shapeId="0" xr:uid="{63F74660-F0D8-4070-A883-0EC4A138B13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tc={CED5DC40-82B1-4FC0-8899-CAC85BB4E25B}</author>
  </authors>
  <commentList>
    <comment ref="G8" authorId="0" shapeId="0" xr:uid="{CED5DC40-82B1-4FC0-8899-CAC85BB4E2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2024年度の1.2倍
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tc={93B1FBA8-4997-4D5D-8CE3-084B3DA93480}</author>
    <author>tc={963B41D7-96A2-4604-8C18-CDCC3F13A895}</author>
    <author>tc={1CD33B2A-A28E-4CA7-84AF-DEE7FEADA52B}</author>
  </authors>
  <commentList>
    <comment ref="G8" authorId="0" shapeId="0" xr:uid="{93B1FBA8-4997-4D5D-8CE3-084B3DA934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  <comment ref="J9" authorId="1" shapeId="0" xr:uid="{963B41D7-96A2-4604-8C18-CDCC3F13A895}">
      <text>
        <t>[Threaded comment]
Your version of Excel allows you to read this threaded comment; however, any edits to it will get removed if the file is opened in a newer version of Excel. Learn more: https://go.microsoft.com/fwlink/?linkid=870924
Comment:
    切りのいい数字で予算化</t>
      </text>
    </comment>
    <comment ref="C27" authorId="2" shapeId="0" xr:uid="{1CD33B2A-A28E-4CA7-84AF-DEE7FEADA52B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tc={F0C84244-57C4-46A4-A164-ADDE835F0621}</author>
    <author>tc={6277B6E2-3CEB-4194-AE50-6CF5DC65E864}</author>
  </authors>
  <commentList>
    <comment ref="I8" authorId="0" shapeId="0" xr:uid="{F0C84244-57C4-46A4-A164-ADDE835F0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2024/8/26
リコーから更新後の単価受領</t>
      </text>
    </comment>
    <comment ref="L9" authorId="1" shapeId="0" xr:uid="{6277B6E2-3CEB-4194-AE50-6CF5DC65E864}">
      <text>
        <t>[Threaded comment]
Your version of Excel allows you to read this threaded comment; however, any edits to it will get removed if the file is opened in a newer version of Excel. Learn more: https://go.microsoft.com/fwlink/?linkid=870924
Comment:
    切りのいい数字で予算化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tc={1A2CD52C-E65D-4CDD-9325-0922094C7DF2}</author>
  </authors>
  <commentList>
    <comment ref="C35" authorId="0" shapeId="0" xr:uid="{1A2CD52C-E65D-4CDD-9325-0922094C7DF2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tc={2F5079AE-AF24-4AA2-BD55-D7F2C849DAB3}</author>
    <author>tc={F731D17B-A8DE-40B8-8406-95D01C92E761}</author>
  </authors>
  <commentList>
    <comment ref="G6" authorId="0" shapeId="0" xr:uid="{2F5079AE-AF24-4AA2-BD55-D7F2C849DAB3}">
      <text>
        <t>[Threaded comment]
Your version of Excel allows you to read this threaded comment; however, any edits to it will get removed if the file is opened in a newer version of Excel. Learn more: https://go.microsoft.com/fwlink/?linkid=870924
Comment:
    前年と同額で行ったに予算化
Sansanから見積が来たら修正</t>
      </text>
    </comment>
    <comment ref="I6" authorId="1" shapeId="0" xr:uid="{F731D17B-A8DE-40B8-8406-95D01C92E76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前年と同額で行ったに予算化
Sansanから見積が来たら修正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tc={BF52A623-F96B-4688-84D3-90C87995A95E}</author>
  </authors>
  <commentList>
    <comment ref="C45" authorId="0" shapeId="0" xr:uid="{BF52A623-F96B-4688-84D3-90C87995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tc={6196498E-2DF4-4AE3-B4D5-2AC957EC8285}</author>
  </authors>
  <commentList>
    <comment ref="C57" authorId="0" shapeId="0" xr:uid="{6196498E-2DF4-4AE3-B4D5-2AC957EC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tc={A9953811-0584-4034-814F-A009BDAEF51A}</author>
  </authors>
  <commentList>
    <comment ref="C41" authorId="0" shapeId="0" xr:uid="{A9953811-0584-4034-814F-A009BDAEF51A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tc={C4AC2C49-FAD1-46CB-A9C0-32292263355A}</author>
    <author>tc={EAD528C3-D31B-4A4C-975F-FBB898AB76B5}</author>
    <author>tc={A71679A9-BA69-4EE7-BCCA-AFFF8BCB22DE}</author>
    <author>tc={ABA29E91-C209-4478-A152-A7ADC3239984}</author>
    <author>tc={8C76B06D-F248-4828-9A9E-BE2FD1CC359A}</author>
  </authors>
  <commentList>
    <comment ref="D4" authorId="0" shapeId="0" xr:uid="{C4AC2C49-FAD1-46CB-A9C0-32292263355A}">
      <text>
        <t>[Threaded comment]
Your version of Excel allows you to read this threaded comment; however, any edits to it will get removed if the file is opened in a newer version of Excel. Learn more: https://go.microsoft.com/fwlink/?linkid=870924
Comment:
    8/22時点
490だけど、追加の可能性を考慮して10プラスしている</t>
      </text>
    </comment>
    <comment ref="F22" authorId="1" shapeId="0" xr:uid="{EAD528C3-D31B-4A4C-975F-FBB898AB76B5}">
      <text>
        <t>[Threaded comment]
Your version of Excel allows you to read this threaded comment; however, any edits to it will get removed if the file is opened in a newer version of Excel. Learn more: https://go.microsoft.com/fwlink/?linkid=870924
Comment:
    10ライセンス追加</t>
      </text>
    </comment>
    <comment ref="G22" authorId="2" shapeId="0" xr:uid="{A71679A9-BA69-4EE7-BCCA-AFFF8BCB22DE}">
      <text>
        <t>[Threaded comment]
Your version of Excel allows you to read this threaded comment; however, any edits to it will get removed if the file is opened in a newer version of Excel. Learn more: https://go.microsoft.com/fwlink/?linkid=870924
Comment:
    10ライセンス追加</t>
      </text>
    </comment>
    <comment ref="C58" authorId="3" shapeId="0" xr:uid="{ABA29E91-C209-4478-A152-A7ADC3239984}">
      <text>
        <t>[Threaded comment]
Your version of Excel allows you to read this threaded comment; however, any edits to it will get removed if the file is opened in a newer version of Excel. Learn more: https://go.microsoft.com/fwlink/?linkid=870924
Comment:
    値上がり予定
×1.2</t>
      </text>
    </comment>
    <comment ref="D69" authorId="4" shapeId="0" xr:uid="{8C76B06D-F248-4828-9A9E-BE2FD1CC359A}">
      <text>
        <t>[Threaded comment]
Your version of Excel allows you to read this threaded comment; however, any edits to it will get removed if the file is opened in a newer version of Excel. Learn more: https://go.microsoft.com/fwlink/?linkid=870924
Comment:
    8/22時点
490だけど、追加の可能性を考慮して10プラスしている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tc={6AF70CCF-9F8C-421E-B4B5-63FAD3B72CB8}</author>
    <author>tc={4253DDDA-FEE1-4D96-A851-ECFC1AE21F99}</author>
    <author>tc={85BFB214-50CB-42DC-8043-F91D63420423}</author>
    <author>tc={00A2AD7B-A212-40DD-B951-0C6894EFE9FD}</author>
  </authors>
  <commentList>
    <comment ref="C4" authorId="0" shapeId="0" xr:uid="{6AF70CCF-9F8C-421E-B4B5-63FAD3B72CB8}">
      <text>
        <t>[Threaded comment]
Your version of Excel allows you to read this threaded comment; however, any edits to it will get removed if the file is opened in a newer version of Excel. Learn more: https://go.microsoft.com/fwlink/?linkid=870924
Comment:
    550の根拠：既存ライセンス数＋入社予定者数＋バッファ</t>
      </text>
    </comment>
    <comment ref="B10" authorId="1" shapeId="0" xr:uid="{4253DDDA-FEE1-4D96-A851-ECFC1AE2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社員のみ</t>
      </text>
    </comment>
    <comment ref="C38" authorId="2" shapeId="0" xr:uid="{85BFB214-50CB-42DC-8043-F91D63420423}">
      <text>
        <t>[Threaded comment]
Your version of Excel allows you to read this threaded comment; however, any edits to it will get removed if the file is opened in a newer version of Excel. Learn more: https://go.microsoft.com/fwlink/?linkid=870924
Comment:
    550の根拠：既存ライセンス数＋入社予定者数＋バッファ</t>
      </text>
    </comment>
    <comment ref="B42" authorId="3" shapeId="0" xr:uid="{00A2AD7B-A212-40DD-B951-0C6894EFE9FD}">
      <text>
        <t>[Threaded comment]
Your version of Excel allows you to read this threaded comment; however, any edits to it will get removed if the file is opened in a newer version of Excel. Learn more: https://go.microsoft.com/fwlink/?linkid=870924
Comment:
    社員のみ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tc={0F235F6F-84EB-45CD-9050-8E2F63CB327C}</author>
    <author>tc={1FF302FF-C780-4D24-AE66-437F5E892150}</author>
    <author>tc={1048C097-2A98-4402-889D-FECEF6B4D7FB}</author>
    <author>tc={663952CE-31FE-4C08-AE09-DDB24F9496AA}</author>
    <author>tc={00057886-60DC-4F24-B938-B3CEEC646F63}</author>
    <author>tc={B93DE091-7266-4881-AB64-34B1DBF5F8FA}</author>
    <author>tc={2E352B07-3A26-4265-875A-C20812B5FEB9}</author>
    <author>tc={8F5D05B2-E714-4D4C-BDCF-D5B3C309FB67}</author>
    <author>tc={82ADB35D-2F97-4D6D-B2F0-3F16F6E0A599}</author>
    <author>tc={3C41691A-BE02-49F2-B85E-0999F76685FD}</author>
    <author>tc={5446B6D5-B9A9-40C4-8C02-E564CC63690E}</author>
    <author>tc={DB0CE924-A3AC-45AD-A327-5FE73FA33856}</author>
    <author>tc={92966F61-A8DF-49C8-9E6F-66854CD5C551}</author>
    <author>tc={DA53184A-571D-4487-96FE-C5970B434F9C}</author>
    <author>tc={D1F90F6F-56EE-4874-961B-9685C8C691FC}</author>
    <author>tc={3062D3BA-BBB0-4227-9600-CCD59EF0DBC8}</author>
    <author>tc={5F0DCCD1-D70D-4330-AA87-30AC7DB25516}</author>
    <author>tc={3A7DA74C-4038-4ABA-AA3A-09996D24AFFB}</author>
    <author>tc={ED5E232A-542C-43F8-9EF8-460BD7963428}</author>
    <author>tc={BA39C39B-7CC1-4F33-A85C-987B9F1BB55F}</author>
    <author>tc={8DD0C994-9E0D-43AB-9085-C05AFB5FCC55}</author>
    <author>tc={E45D8362-9364-4716-9710-80783390C4D0}</author>
  </authors>
  <commentList>
    <comment ref="F35" authorId="0" shapeId="0" xr:uid="{0F235F6F-84EB-45CD-9050-8E2F63CB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マーケ＋アシスタント一部
情報システム部は？</t>
      </text>
    </comment>
    <comment ref="I35" authorId="1" shapeId="0" xr:uid="{1FF302FF-C780-4D24-AE66-437F5E892150}">
      <text>
        <t>[Threaded comment]
Your version of Excel allows you to read this threaded comment; however, any edits to it will get removed if the file is opened in a newer version of Excel. Learn more: https://go.microsoft.com/fwlink/?linkid=870924
Comment:
    ライセンス最適化後はSDupになる
情報システム＋バックオフィスも必要なのかと？</t>
      </text>
    </comment>
    <comment ref="G40" authorId="2" shapeId="0" xr:uid="{1048C097-2A98-4402-889D-FECEF6B4D7FB}">
      <text>
        <t>[Threaded comment]
Your version of Excel allows you to read this threaded comment; however, any edits to it will get removed if the file is opened in a newer version of Excel. Learn more: https://go.microsoft.com/fwlink/?linkid=870924
Comment:
    マーケ分を想定</t>
      </text>
    </comment>
    <comment ref="J40" authorId="3" shapeId="0" xr:uid="{663952CE-31FE-4C08-AE09-DDB24F9496AA}">
      <text>
        <t>[Threaded comment]
Your version of Excel allows you to read this threaded comment; however, any edits to it will get removed if the file is opened in a newer version of Excel. Learn more: https://go.microsoft.com/fwlink/?linkid=870924
Comment:
    入社：10
昇格：10</t>
      </text>
    </comment>
    <comment ref="E48" authorId="4" shapeId="0" xr:uid="{00057886-60DC-4F24-B938-B3CEEC64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契約更新で単価400円弱UP
9,136→9,593</t>
      </text>
    </comment>
    <comment ref="S48" authorId="5" shapeId="0" xr:uid="{B93DE091-7266-4881-AB64-34B1DBF5F8FA}">
      <text>
        <t>[Threaded comment]
Your version of Excel allows you to read this threaded comment; however, any edits to it will get removed if the file is opened in a newer version of Excel. Learn more: https://go.microsoft.com/fwlink/?linkid=870924
Comment:
    次回更新時に値上の可能性もあるため
7,623×1.2</t>
      </text>
    </comment>
    <comment ref="Y48" authorId="6" shapeId="0" xr:uid="{2E352B07-3A26-4265-875A-C20812B5FEB9}">
      <text>
        <t>[Threaded comment]
Your version of Excel allows you to read this threaded comment; however, any edits to it will get removed if the file is opened in a newer version of Excel. Learn more: https://go.microsoft.com/fwlink/?linkid=870924
Comment:
    次回更新時に値上の可能性もあるため
7,623×1.2</t>
      </text>
    </comment>
    <comment ref="T55" authorId="7" shapeId="0" xr:uid="{8F5D05B2-E714-4D4C-BDCF-D5B3C309FB67}">
      <text>
        <t>[Threaded comment]
Your version of Excel allows you to read this threaded comment; however, any edits to it will get removed if the file is opened in a newer version of Excel. Learn more: https://go.microsoft.com/fwlink/?linkid=870924
Comment:
    データバースの容量は必要に必要に応じて追加</t>
      </text>
    </comment>
    <comment ref="Z55" authorId="8" shapeId="0" xr:uid="{82ADB35D-2F97-4D6D-B2F0-3F16F6E0A599}">
      <text>
        <t>[Threaded comment]
Your version of Excel allows you to read this threaded comment; however, any edits to it will get removed if the file is opened in a newer version of Excel. Learn more: https://go.microsoft.com/fwlink/?linkid=870924
Comment:
    データバースの容量は必要に必要に応じて追加</t>
      </text>
    </comment>
    <comment ref="T56" authorId="9" shapeId="0" xr:uid="{3C41691A-BE02-49F2-B85E-0999F76685FD}">
      <text>
        <t>[Threaded comment]
Your version of Excel allows you to read this threaded comment; however, any edits to it will get removed if the file is opened in a newer version of Excel. Learn more: https://go.microsoft.com/fwlink/?linkid=870924
Comment:
    データバースの容量は必要に必要に応じて追加</t>
      </text>
    </comment>
    <comment ref="Z56" authorId="10" shapeId="0" xr:uid="{5446B6D5-B9A9-40C4-8C02-E564CC63690E}">
      <text>
        <t>[Threaded comment]
Your version of Excel allows you to read this threaded comment; however, any edits to it will get removed if the file is opened in a newer version of Excel. Learn more: https://go.microsoft.com/fwlink/?linkid=870924
Comment:
    データバースの容量は必要に必要に応じて追加</t>
      </text>
    </comment>
    <comment ref="H73" authorId="11" shapeId="0" xr:uid="{DB0CE924-A3AC-45AD-A327-5FE73FA33856}">
      <text>
        <t>[Threaded comment]
Your version of Excel allows you to read this threaded comment; however, any edits to it will get removed if the file is opened in a newer version of Excel. Learn more: https://go.microsoft.com/fwlink/?linkid=870924
Comment:
    システム活用を想定+1</t>
      </text>
    </comment>
    <comment ref="M73" authorId="12" shapeId="0" xr:uid="{92966F61-A8DF-49C8-9E6F-66854CD5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システム活用を想定し+1</t>
      </text>
    </comment>
    <comment ref="E74" authorId="13" shapeId="0" xr:uid="{DA53184A-571D-4487-96FE-C5970B434F9C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契約更新で単価400円弱UP
9,136→9,593</t>
      </text>
    </comment>
    <comment ref="M75" authorId="14" shapeId="0" xr:uid="{D1F90F6F-56EE-4874-961B-9685C8C691FC}">
      <text>
        <t>[Threaded comment]
Your version of Excel allows you to read this threaded comment; however, any edits to it will get removed if the file is opened in a newer version of Excel. Learn more: https://go.microsoft.com/fwlink/?linkid=870924
Comment:
    8/1で解約</t>
      </text>
    </comment>
    <comment ref="F81" authorId="15" shapeId="0" xr:uid="{3062D3BA-BBB0-4227-9600-CCD59EF0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＋10バッファ</t>
      </text>
    </comment>
    <comment ref="H81" authorId="16" shapeId="0" xr:uid="{5F0DCCD1-D70D-4330-AA87-30AC7DB25516}">
      <text>
        <t>[Threaded comment]
Your version of Excel allows you to read this threaded comment; however, any edits to it will get removed if the file is opened in a newer version of Excel. Learn more: https://go.microsoft.com/fwlink/?linkid=870924
Comment:
    +5を追加予定</t>
      </text>
    </comment>
    <comment ref="M81" authorId="17" shapeId="0" xr:uid="{3A7DA74C-4038-4ABA-AA3A-09996D24AFFB}">
      <text>
        <t>[Threaded comment]
Your version of Excel allows you to read this threaded comment; however, any edits to it will get removed if the file is opened in a newer version of Excel. Learn more: https://go.microsoft.com/fwlink/?linkid=870924
Comment:
    ＋5ライセンス追加</t>
      </text>
    </comment>
    <comment ref="N81" authorId="18" shapeId="0" xr:uid="{ED5E232A-542C-43F8-9EF8-460BD7963428}">
      <text>
        <t>[Threaded comment]
Your version of Excel allows you to read this threaded comment; however, any edits to it will get removed if the file is opened in a newer version of Excel. Learn more: https://go.microsoft.com/fwlink/?linkid=870924
Comment:
    8/1解約分を追加</t>
      </text>
    </comment>
    <comment ref="M86" authorId="19" shapeId="0" xr:uid="{BA39C39B-7CC1-4F33-A85C-987B9F1BB55F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契約更新で5%値上を想定</t>
      </text>
    </comment>
    <comment ref="J88" authorId="20" shapeId="0" xr:uid="{8DD0C994-9E0D-43AB-9085-C05AFB5FCC55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契約更新で5%値上げを想定</t>
      </text>
    </comment>
    <comment ref="K89" authorId="21" shapeId="0" xr:uid="{E45D8362-9364-4716-9710-80783390C4D0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契約更新で約5%の値上げを想定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tc={0388E7EA-E791-4A3B-8FA5-C2BCC1E6AD4F}</author>
    <author>tc={F74289AF-3F48-4048-8939-C1A9C05FD286}</author>
  </authors>
  <commentList>
    <comment ref="F6" authorId="0" shapeId="0" xr:uid="{0388E7EA-E791-4A3B-8FA5-C2BCC1E6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2024年度と同額で一旦予算化</t>
      </text>
    </comment>
    <comment ref="H6" authorId="1" shapeId="0" xr:uid="{F74289AF-3F48-4048-8939-C1A9C05FD28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2024年度と同額で一旦予算化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tc={2031426C-CD2E-425E-932E-F41D38FAA771}</author>
    <author>tc={C29C41DC-E9AA-48D0-A83B-7EEA4C333596}</author>
  </authors>
  <commentList>
    <comment ref="J19" authorId="0" shapeId="0" xr:uid="{2031426C-CD2E-425E-932E-F41D38FAA7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1枚当たり310円
2024年9月17日現在
残：156枚
2025年3月までの期限切れ枚数：61枚
上記プラス入社者、バッファーを考慮して4月に400枚追加する計画
※4月に追加する場合は3月に要発注
</t>
      </text>
    </comment>
    <comment ref="J24" authorId="1" shapeId="0" xr:uid="{C29C41DC-E9AA-48D0-A83B-7EEA4C3335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1枚当たり310円
2024年9月17日現在
残：156枚
2025年3月までの期限切れ枚数：61枚
上記プラス入社者、バッファーを考慮して4月に400枚追加する計画
※4月に追加する場合は3月に要発注
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tc={52FF05A8-C5EB-49F7-AB80-C696F373AA38}</author>
  </authors>
  <commentList>
    <comment ref="D14" authorId="0" shapeId="0" xr:uid="{52FF05A8-C5EB-49F7-AB80-C696F373AA38}">
      <text>
        <t>[Threaded comment]
Your version of Excel allows you to read this threaded comment; however, any edits to it will get removed if the file is opened in a newer version of Excel. Learn more: https://go.microsoft.com/fwlink/?linkid=870924
Comment:
    直近の実績ベース</t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tc={1AFF012A-2955-4F0F-9353-052679E81A7D}</author>
  </authors>
  <commentList>
    <comment ref="J8" authorId="0" shapeId="0" xr:uid="{1AFF012A-2955-4F0F-9353-052679E81A7D}">
      <text>
        <t>[Threaded comment]
Your version of Excel allows you to read this threaded comment; however, any edits to it will get removed if the file is opened in a newer version of Excel. Learn more: https://go.microsoft.com/fwlink/?linkid=870924
Comment:
    契約更新月10月から5%upで算出</t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tc={1547C5FD-2D0F-4099-A60E-6FF8E3460C97}</author>
    <author>tc={4D57D639-CF3F-467F-8F4A-7F841A3F8A6F}</author>
  </authors>
  <commentList>
    <comment ref="G22" authorId="0" shapeId="0" xr:uid="{1547C5FD-2D0F-4099-A60E-6FF8E3460C97}">
      <text>
        <t>[Threaded comment]
Your version of Excel allows you to read this threaded comment; however, any edits to it will get removed if the file is opened in a newer version of Excel. Learn more: https://go.microsoft.com/fwlink/?linkid=870924
Comment:
    単価1.2倍</t>
      </text>
    </comment>
    <comment ref="L22" authorId="1" shapeId="0" xr:uid="{4D57D639-CF3F-467F-8F4A-7F841A3F8A6F}">
      <text>
        <t>[Threaded comment]
Your version of Excel allows you to read this threaded comment; however, any edits to it will get removed if the file is opened in a newer version of Excel. Learn more: https://go.microsoft.com/fwlink/?linkid=870924
Comment:
    人員（増員）計画は要確認</t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tc={F9500AD0-833B-40F4-98EF-EA182ED05AC0}</author>
    <author>tc={E6F8EF07-3AF2-4EC5-BC64-6F3B661F0758}</author>
    <author>tc={C3682902-DBC7-4334-BBE5-8E48D4AEF782}</author>
    <author>tc={79F368B7-B339-4C23-AC76-F4B0E1577F93}</author>
  </authors>
  <commentList>
    <comment ref="I4" authorId="0" shapeId="0" xr:uid="{F9500AD0-833B-40F4-98EF-EA182ED05AC0}">
      <text>
        <t>[Threaded comment]
Your version of Excel allows you to read this threaded comment; however, any edits to it will get removed if the file is opened in a newer version of Excel. Learn more: https://go.microsoft.com/fwlink/?linkid=870924
Comment:
    2→3に1名追加</t>
      </text>
    </comment>
    <comment ref="I6" authorId="1" shapeId="0" xr:uid="{E6F8EF07-3AF2-4EC5-BC64-6F3B661F0758}">
      <text>
        <t>[Threaded comment]
Your version of Excel allows you to read this threaded comment; however, any edits to it will get removed if the file is opened in a newer version of Excel. Learn more: https://go.microsoft.com/fwlink/?linkid=870924
Comment:
    キッティング回数を2→4に増やしている</t>
      </text>
    </comment>
    <comment ref="E15" authorId="2" shapeId="0" xr:uid="{C3682902-DBC7-4334-BBE5-8E48D4AEF782}">
      <text>
        <t>[Threaded comment]
Your version of Excel allows you to read this threaded comment; however, any edits to it will get removed if the file is opened in a newer version of Excel. Learn more: https://go.microsoft.com/fwlink/?linkid=870924
Comment:
    キッティング2→4にしている</t>
      </text>
    </comment>
    <comment ref="P22" authorId="3" shapeId="0" xr:uid="{79F368B7-B339-4C23-AC76-F4B0E1577F93}">
      <text>
        <t>[Threaded comment]
Your version of Excel allows you to read this threaded comment; however, any edits to it will get removed if the file is opened in a newer version of Excel. Learn more: https://go.microsoft.com/fwlink/?linkid=870924
Comment:
    実績がなぞ</t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tc={7F98CA98-70AA-446A-80AA-96F41C6EDC69}</author>
  </authors>
  <commentList>
    <comment ref="G8" authorId="0" shapeId="0" xr:uid="{7F98CA98-70AA-446A-80AA-96F41C6EDC69}">
      <text>
        <t>[Threaded comment]
Your version of Excel allows you to read this threaded comment; however, any edits to it will get removed if the file is opened in a newer version of Excel. Learn more: https://go.microsoft.com/fwlink/?linkid=870924
Comment:
    見積を取得して単価を入れてください</t>
      </text>
    </comment>
  </commentList>
</comments>
</file>

<file path=xl/sharedStrings.xml><?xml version="1.0" encoding="utf-8"?>
<sst xmlns="http://schemas.openxmlformats.org/spreadsheetml/2006/main" count="6114" uniqueCount="891">
  <si>
    <t>契約情報のサマリ</t>
  </si>
  <si>
    <t>増員計画（予定）</t>
    <rPh sb="0" eb="4">
      <t>ゾウインケイカク</t>
    </rPh>
    <rPh sb="5" eb="7">
      <t>ヨテイ</t>
    </rPh>
    <phoneticPr fontId="6"/>
  </si>
  <si>
    <t>Sheet1</t>
  </si>
  <si>
    <t>FMI新入社員</t>
    <rPh sb="3" eb="5">
      <t>シンニュウ</t>
    </rPh>
    <rPh sb="5" eb="7">
      <t>シャイン</t>
    </rPh>
    <phoneticPr fontId="6"/>
  </si>
  <si>
    <t>2026予算計画</t>
  </si>
  <si>
    <t>FCI新入社員</t>
    <rPh sb="3" eb="7">
      <t>シンニュウシャイン</t>
    </rPh>
    <phoneticPr fontId="6"/>
  </si>
  <si>
    <t>【ソフトバンク】PKIプラットフォーム</t>
  </si>
  <si>
    <t>外注</t>
    <rPh sb="0" eb="2">
      <t>ガイチュウ</t>
    </rPh>
    <phoneticPr fontId="6"/>
  </si>
  <si>
    <t>【FBJ】プライバシーフィルター購入費用</t>
  </si>
  <si>
    <t>【FBJ】WISEAlert</t>
  </si>
  <si>
    <t>契約管理管理のファイル</t>
    <rPh sb="4" eb="6">
      <t>カンリ</t>
    </rPh>
    <phoneticPr fontId="6"/>
  </si>
  <si>
    <t>【SCSK】D365ライセンス</t>
  </si>
  <si>
    <t>契約管理</t>
  </si>
  <si>
    <t>【クラウズ・スパイス】CloudsSpice</t>
  </si>
  <si>
    <t>【チームスピリット】TeamSpirit</t>
  </si>
  <si>
    <t>【テガラ】Think-Cell</t>
  </si>
  <si>
    <t>【双日テックイノベーション】Zoom</t>
  </si>
  <si>
    <t>シートの構成</t>
    <rPh sb="4" eb="6">
      <t>コウセイ</t>
    </rPh>
    <phoneticPr fontId="6"/>
  </si>
  <si>
    <t>【JBS】InterSafe</t>
  </si>
  <si>
    <t>【Sansan】Sansan</t>
  </si>
  <si>
    <t>【FBJ】SKYSEA</t>
  </si>
  <si>
    <t>2025年度外注者依頼</t>
    <rPh sb="4" eb="6">
      <t>ネンド</t>
    </rPh>
    <rPh sb="6" eb="8">
      <t>ガイチュウ</t>
    </rPh>
    <rPh sb="8" eb="9">
      <t>シャ</t>
    </rPh>
    <rPh sb="9" eb="11">
      <t>イライ</t>
    </rPh>
    <phoneticPr fontId="6"/>
  </si>
  <si>
    <t>【リコー】Acrobat</t>
  </si>
  <si>
    <t>2025/11/17時点</t>
    <rPh sb="10" eb="12">
      <t>ジテン</t>
    </rPh>
    <phoneticPr fontId="6"/>
  </si>
  <si>
    <t>【Neusoft】Helpdesk・オンサイト</t>
  </si>
  <si>
    <t>予備</t>
    <rPh sb="0" eb="2">
      <t>ヨビ</t>
    </rPh>
    <phoneticPr fontId="6"/>
  </si>
  <si>
    <t>【リコー】TeaｍViewer</t>
  </si>
  <si>
    <t>年間合計</t>
    <rPh sb="0" eb="4">
      <t>ネンカンゴウケイ</t>
    </rPh>
    <phoneticPr fontId="6"/>
  </si>
  <si>
    <t>【リコー】ｼﾏﾝﾃｯｸGHOST</t>
  </si>
  <si>
    <t>【ソフトバンク】Wifi</t>
  </si>
  <si>
    <t>外注の登録情報</t>
  </si>
  <si>
    <t>【KDDI】大西代表用Wifi</t>
  </si>
  <si>
    <t>【ソフトバンク】iPhone Pad</t>
  </si>
  <si>
    <t>【リコー】M365(FMI)</t>
  </si>
  <si>
    <t>【リコー】M365(FCI)</t>
  </si>
  <si>
    <t>【リコー】MS Project</t>
  </si>
  <si>
    <t>【リコー】Copilot for M365</t>
  </si>
  <si>
    <t>【リコー】PowerAutomatePremium</t>
  </si>
  <si>
    <t>★New★【ジャストシステム】JUSTPDF</t>
  </si>
  <si>
    <t>サマリー</t>
  </si>
  <si>
    <t>PCリプレース計画</t>
  </si>
  <si>
    <t>PCレンタル→2024年PCリプレースへ移動</t>
  </si>
  <si>
    <t>old_M365</t>
  </si>
  <si>
    <t>契約情報のサマリ</t>
    <phoneticPr fontId="6"/>
  </si>
  <si>
    <t>2024予算計画</t>
    <phoneticPr fontId="6"/>
  </si>
  <si>
    <t>シートの構成</t>
    <phoneticPr fontId="6"/>
  </si>
  <si>
    <t>【ソフトバンク】PKIプラットフォーム</t>
    <phoneticPr fontId="6"/>
  </si>
  <si>
    <t>【FBJ】プライバシーフィルター購入費用</t>
    <phoneticPr fontId="6"/>
  </si>
  <si>
    <t>【FBJ】WISEAlert</t>
    <phoneticPr fontId="6"/>
  </si>
  <si>
    <t>【SCSK】D365ライセンス</t>
    <phoneticPr fontId="6"/>
  </si>
  <si>
    <t>【クラウズ・スパイス】CloudsSpice</t>
    <phoneticPr fontId="6"/>
  </si>
  <si>
    <t>【チームスピリット】TeamSpirit</t>
    <phoneticPr fontId="6"/>
  </si>
  <si>
    <t>【テガラ】Think-Cell</t>
    <phoneticPr fontId="6"/>
  </si>
  <si>
    <t>【双日テックイノベーション】Zoom</t>
    <phoneticPr fontId="6"/>
  </si>
  <si>
    <t>【JBS】InterSafe</t>
    <phoneticPr fontId="6"/>
  </si>
  <si>
    <t>【Sansan】Sansan</t>
    <phoneticPr fontId="6"/>
  </si>
  <si>
    <t>【FBJ】SKYSEA</t>
    <phoneticPr fontId="6"/>
  </si>
  <si>
    <t>【リコー】Acrobat</t>
    <phoneticPr fontId="6"/>
  </si>
  <si>
    <t>【Neusoft】Helpdesk・オンサイト</t>
    <phoneticPr fontId="6"/>
  </si>
  <si>
    <t>【リコー】TeaｍViewer</t>
    <phoneticPr fontId="6"/>
  </si>
  <si>
    <t>【リコー】ｼﾏﾝﾃｯｸGHOST</t>
    <phoneticPr fontId="6"/>
  </si>
  <si>
    <t>【ソフトバンク】Wifi</t>
    <phoneticPr fontId="6"/>
  </si>
  <si>
    <t>【KDDI】大西代表用Wifi</t>
    <phoneticPr fontId="6"/>
  </si>
  <si>
    <t>【ソフトバンク】iPhone Pad</t>
    <phoneticPr fontId="6"/>
  </si>
  <si>
    <t>【リコー】M365(FMI)</t>
    <phoneticPr fontId="6"/>
  </si>
  <si>
    <t>【リコー】M365(FCI)</t>
    <phoneticPr fontId="6"/>
  </si>
  <si>
    <t>【リコー】MS Project</t>
    <phoneticPr fontId="6"/>
  </si>
  <si>
    <t>★New★【リコー】Copilot for M365</t>
    <phoneticPr fontId="6"/>
  </si>
  <si>
    <t>★New★【リコー】PowerAutomatePremium</t>
    <phoneticPr fontId="6"/>
  </si>
  <si>
    <t>★New★【リコー】VisioPlan1</t>
    <phoneticPr fontId="6"/>
  </si>
  <si>
    <t>★New★【リコー】CopilotStudio</t>
    <phoneticPr fontId="6"/>
  </si>
  <si>
    <t>★New★【JAPANAI】JapanAi</t>
    <phoneticPr fontId="6"/>
  </si>
  <si>
    <t>【MS】プレミアサポート</t>
    <phoneticPr fontId="6"/>
  </si>
  <si>
    <t>【富士フィルムイメージングシステム】SECUREDERIVER</t>
    <phoneticPr fontId="6"/>
  </si>
  <si>
    <t>★New★【ID】Azureサーバ監視サービス</t>
  </si>
  <si>
    <t>★New★【IIJ】OneTrustライセンス</t>
  </si>
  <si>
    <t>【IIJ】SecureMX</t>
  </si>
  <si>
    <t>【FBJ】X-point</t>
  </si>
  <si>
    <t>リコー</t>
    <phoneticPr fontId="6"/>
  </si>
  <si>
    <t>ソフトバンク</t>
    <phoneticPr fontId="6"/>
  </si>
  <si>
    <t>次回契約更新時安価な方</t>
    <rPh sb="0" eb="2">
      <t>ジカイ</t>
    </rPh>
    <rPh sb="2" eb="4">
      <t>ケイヤク</t>
    </rPh>
    <rPh sb="4" eb="6">
      <t>コウシン</t>
    </rPh>
    <rPh sb="6" eb="7">
      <t>ジ</t>
    </rPh>
    <rPh sb="7" eb="9">
      <t>アンカ</t>
    </rPh>
    <rPh sb="10" eb="11">
      <t>ホウ</t>
    </rPh>
    <phoneticPr fontId="6"/>
  </si>
  <si>
    <t>プラン</t>
  </si>
  <si>
    <t>数量</t>
  </si>
  <si>
    <t>次回契約満了日</t>
  </si>
  <si>
    <t>価格改定月</t>
  </si>
  <si>
    <t>改定前単価</t>
  </si>
  <si>
    <t>改定前合計</t>
  </si>
  <si>
    <t>改定後単価</t>
  </si>
  <si>
    <t>改定後合計</t>
  </si>
  <si>
    <t>2025/12/15再見積</t>
    <rPh sb="10" eb="13">
      <t>サイミツ</t>
    </rPh>
    <phoneticPr fontId="6"/>
  </si>
  <si>
    <t>クラウドサービス for Office365 Copilot Studio - 年契約⽉払</t>
  </si>
  <si>
    <t>2026年6⽉11⽇</t>
  </si>
  <si>
    <t>2026年7⽉</t>
  </si>
  <si>
    <t>31,484円</t>
  </si>
  <si>
    <t>クラウドサービス for Office365 Copilot for Microsoft 365 - 年契約⽉払</t>
  </si>
  <si>
    <t>2026年3⽉3⽇</t>
  </si>
  <si>
    <t>2026年4⽉</t>
  </si>
  <si>
    <t>67,455円</t>
  </si>
  <si>
    <t>70,830円</t>
  </si>
  <si>
    <t>クラウドサービス for Office365 Microsoft 365 E5 - 年契約⽉払</t>
  </si>
  <si>
    <t>2026年3⽉16⽇</t>
  </si>
  <si>
    <t>4,259,703円</t>
  </si>
  <si>
    <t>4,473,354円</t>
  </si>
  <si>
    <t>クラウドサービス for Office365 Power Automate Premium - 年契約⽉払</t>
  </si>
  <si>
    <t>2026年2⽉15⽇</t>
  </si>
  <si>
    <t>2026年3⽉</t>
  </si>
  <si>
    <t>7,756円</t>
  </si>
  <si>
    <t>8,144円</t>
  </si>
  <si>
    <t>クラウドサービス for Office365 Teams Premium - ⽉契約⽉払</t>
  </si>
  <si>
    <t>2025年12⽉3⽇</t>
  </si>
  <si>
    <t>1,622円</t>
  </si>
  <si>
    <t>そもそも契約継続する？</t>
    <rPh sb="4" eb="6">
      <t>ケイヤク</t>
    </rPh>
    <rPh sb="6" eb="8">
      <t>ケイゾク</t>
    </rPh>
    <phoneticPr fontId="6"/>
  </si>
  <si>
    <t>■その他費用</t>
    <rPh sb="3" eb="4">
      <t>ホカ</t>
    </rPh>
    <rPh sb="4" eb="6">
      <t>ヒヨウ</t>
    </rPh>
    <phoneticPr fontId="10"/>
  </si>
  <si>
    <t>実単価</t>
    <rPh sb="0" eb="3">
      <t>ジツタンカ</t>
    </rPh>
    <phoneticPr fontId="6"/>
  </si>
  <si>
    <t>予算単価</t>
    <rPh sb="0" eb="2">
      <t>ヨサン</t>
    </rPh>
    <rPh sb="2" eb="4">
      <t>タンカ</t>
    </rPh>
    <phoneticPr fontId="6"/>
  </si>
  <si>
    <t>枚数</t>
    <rPh sb="0" eb="2">
      <t>マイスウ</t>
    </rPh>
    <phoneticPr fontId="6"/>
  </si>
  <si>
    <t>2026年の方針</t>
    <rPh sb="4" eb="5">
      <t>ネン</t>
    </rPh>
    <rPh sb="6" eb="8">
      <t>ホウシン</t>
    </rPh>
    <phoneticPr fontId="6"/>
  </si>
  <si>
    <t>フィルター購入費用</t>
    <rPh sb="5" eb="9">
      <t>コウニュウヒヨウ</t>
    </rPh>
    <phoneticPr fontId="10"/>
  </si>
  <si>
    <t>FBJ</t>
    <phoneticPr fontId="6"/>
  </si>
  <si>
    <t>アマゾンもしくは大塚商会で予算化するため</t>
    <rPh sb="8" eb="10">
      <t>オオツカ</t>
    </rPh>
    <rPh sb="10" eb="12">
      <t>ショウカイ</t>
    </rPh>
    <rPh sb="13" eb="16">
      <t>ヨサンカ</t>
    </rPh>
    <phoneticPr fontId="6"/>
  </si>
  <si>
    <t>大塚商会</t>
    <rPh sb="0" eb="2">
      <t>オオツカ</t>
    </rPh>
    <rPh sb="2" eb="4">
      <t>ショウカイ</t>
    </rPh>
    <phoneticPr fontId="6"/>
  </si>
  <si>
    <t>予算計上なし</t>
    <rPh sb="0" eb="4">
      <t>ヨサンケイジョウ</t>
    </rPh>
    <phoneticPr fontId="6"/>
  </si>
  <si>
    <t>合計</t>
    <rPh sb="0" eb="2">
      <t>ゴウケイ</t>
    </rPh>
    <phoneticPr fontId="10"/>
  </si>
  <si>
    <t>2025年度</t>
    <rPh sb="4" eb="6">
      <t>ネンド</t>
    </rPh>
    <phoneticPr fontId="6"/>
  </si>
  <si>
    <t>2026年度</t>
    <rPh sb="4" eb="6">
      <t>ネンド</t>
    </rPh>
    <phoneticPr fontId="6"/>
  </si>
  <si>
    <t>総額</t>
    <rPh sb="0" eb="2">
      <t>ソウガク</t>
    </rPh>
    <phoneticPr fontId="6"/>
  </si>
  <si>
    <t>月額</t>
    <rPh sb="0" eb="2">
      <t>ゲツガク</t>
    </rPh>
    <phoneticPr fontId="6"/>
  </si>
  <si>
    <t>1月</t>
    <rPh sb="1" eb="2">
      <t>ガツ</t>
    </rPh>
    <phoneticPr fontId="6"/>
  </si>
  <si>
    <t>2月</t>
    <rPh sb="1" eb="2">
      <t>ガツ</t>
    </rPh>
    <phoneticPr fontId="6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</si>
  <si>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</si>
  <si>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</si>
  <si>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</si>
  <si>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</si>
  <si>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</si>
  <si>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</si>
  <si>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</si>
  <si>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</si>
  <si>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</si>
  <si>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</si>
  <si>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rPh sb="0" eb="2">
      <t>ゴウケイ</t>
    </rPh>
    <phoneticPr fontId="6"/>
  </si>
  <si>
    <t>予算</t>
    <rPh sb="0" eb="2">
      <t>ヨサン</t>
    </rPh>
    <phoneticPr fontId="6"/>
  </si>
  <si>
    <t>実績</t>
    <rPh sb="0" eb="2">
      <t>ジッセキ</t>
    </rPh>
    <phoneticPr fontId="6"/>
  </si>
  <si>
    <t>D25-084</t>
    <phoneticPr fontId="6"/>
  </si>
  <si>
    <t>D25-145</t>
    <phoneticPr fontId="6"/>
  </si>
  <si>
    <t>D25-485</t>
    <phoneticPr fontId="6"/>
  </si>
  <si>
    <t>Amazon</t>
    <phoneticPr fontId="6"/>
  </si>
  <si>
    <t>D25-474</t>
    <phoneticPr fontId="6"/>
  </si>
  <si>
    <t>2024年度</t>
    <rPh sb="4" eb="6">
      <t>ネンド</t>
    </rPh>
    <phoneticPr fontId="6"/>
  </si>
  <si>
    <t>　プライバシーフィルター（FBJ）</t>
    <phoneticPr fontId="6"/>
  </si>
  <si>
    <t>予算との差額</t>
    <rPh sb="0" eb="2">
      <t>ヨサン</t>
    </rPh>
    <rPh sb="4" eb="6">
      <t>サガク</t>
    </rPh>
    <phoneticPr fontId="6"/>
  </si>
  <si>
    <t>D24-124</t>
  </si>
  <si>
    <t>D24-686</t>
  </si>
  <si>
    <t>月額基本料金</t>
    <rPh sb="0" eb="2">
      <t>ゲツガク</t>
    </rPh>
    <rPh sb="2" eb="6">
      <t>キホンリョウキン</t>
    </rPh>
    <phoneticPr fontId="6"/>
  </si>
  <si>
    <t>数量</t>
    <rPh sb="0" eb="2">
      <t>スウリョウ</t>
    </rPh>
    <phoneticPr fontId="6"/>
  </si>
  <si>
    <t>2025年度超過料金</t>
    <rPh sb="4" eb="6">
      <t>ネンド</t>
    </rPh>
    <rPh sb="6" eb="8">
      <t>チョウカ</t>
    </rPh>
    <rPh sb="8" eb="10">
      <t>リョウキン</t>
    </rPh>
    <phoneticPr fontId="6"/>
  </si>
  <si>
    <t>予算月額</t>
    <rPh sb="0" eb="2">
      <t>ヨサン</t>
    </rPh>
    <rPh sb="2" eb="4">
      <t>ゲツガク</t>
    </rPh>
    <phoneticPr fontId="6"/>
  </si>
  <si>
    <t>年額</t>
    <rPh sb="0" eb="2">
      <t>ネンガク</t>
    </rPh>
    <phoneticPr fontId="6"/>
  </si>
  <si>
    <t>予算年額</t>
    <rPh sb="0" eb="4">
      <t>ヨサンネンガク</t>
    </rPh>
    <phoneticPr fontId="6"/>
  </si>
  <si>
    <t>Secure Driver</t>
    <phoneticPr fontId="6"/>
  </si>
  <si>
    <t>2月</t>
  </si>
  <si>
    <t>2026年度予算-2025年度予算</t>
    <rPh sb="4" eb="6">
      <t>ネンド</t>
    </rPh>
    <rPh sb="6" eb="8">
      <t>ヨサン</t>
    </rPh>
    <rPh sb="13" eb="15">
      <t>ネンド</t>
    </rPh>
    <rPh sb="15" eb="17">
      <t>ヨサン</t>
    </rPh>
    <phoneticPr fontId="6"/>
  </si>
  <si>
    <t>2026年度予算-2025年度実績</t>
    <rPh sb="4" eb="6">
      <t>ネンド</t>
    </rPh>
    <rPh sb="6" eb="8">
      <t>ヨサン</t>
    </rPh>
    <rPh sb="13" eb="15">
      <t>ネンド</t>
    </rPh>
    <rPh sb="15" eb="17">
      <t>ジッセキ</t>
    </rPh>
    <phoneticPr fontId="6"/>
  </si>
  <si>
    <t>2025年の月平均</t>
    <rPh sb="4" eb="5">
      <t>ネン</t>
    </rPh>
    <rPh sb="6" eb="9">
      <t>ツキヘイキン</t>
    </rPh>
    <phoneticPr fontId="6"/>
  </si>
  <si>
    <t>超過</t>
    <rPh sb="0" eb="2">
      <t>チョウカ</t>
    </rPh>
    <phoneticPr fontId="6"/>
  </si>
  <si>
    <t>差額</t>
    <rPh sb="0" eb="2">
      <t>サガク</t>
    </rPh>
    <phoneticPr fontId="6"/>
  </si>
  <si>
    <t>超過の予測</t>
    <rPh sb="0" eb="2">
      <t>チョウカ</t>
    </rPh>
    <rPh sb="3" eb="5">
      <t>ヨソク</t>
    </rPh>
    <phoneticPr fontId="6"/>
  </si>
  <si>
    <t>SecureMX</t>
    <phoneticPr fontId="6"/>
  </si>
  <si>
    <t>予算化時の月額単価</t>
    <rPh sb="0" eb="4">
      <t>ヨサンカジ</t>
    </rPh>
    <rPh sb="5" eb="7">
      <t>ゲツガク</t>
    </rPh>
    <rPh sb="7" eb="9">
      <t>タンカ</t>
    </rPh>
    <phoneticPr fontId="6"/>
  </si>
  <si>
    <t>アカウント利用料金予算化時の月額単価</t>
    <rPh sb="5" eb="9">
      <t>リヨウリョウキン</t>
    </rPh>
    <rPh sb="9" eb="12">
      <t>ヨサンカ</t>
    </rPh>
    <rPh sb="12" eb="13">
      <t>ジ</t>
    </rPh>
    <rPh sb="14" eb="16">
      <t>ゲツガク</t>
    </rPh>
    <rPh sb="16" eb="18">
      <t>タンカ</t>
    </rPh>
    <phoneticPr fontId="6"/>
  </si>
  <si>
    <t>Office365（迷惑メール対策）</t>
    <phoneticPr fontId="6"/>
  </si>
  <si>
    <t>実績：基本使用料</t>
    <rPh sb="0" eb="2">
      <t>ジッセキ</t>
    </rPh>
    <rPh sb="3" eb="8">
      <t>キホンシヨウリョウ</t>
    </rPh>
    <phoneticPr fontId="6"/>
  </si>
  <si>
    <t>実績：アカウント使用料金</t>
    <rPh sb="0" eb="2">
      <t>ジッセキ</t>
    </rPh>
    <rPh sb="8" eb="10">
      <t>シヨウ</t>
    </rPh>
    <rPh sb="10" eb="12">
      <t>リョウキン</t>
    </rPh>
    <phoneticPr fontId="6"/>
  </si>
  <si>
    <t>小計</t>
    <rPh sb="0" eb="2">
      <t>ショウケイ</t>
    </rPh>
    <phoneticPr fontId="6"/>
  </si>
  <si>
    <t>アカウント数</t>
    <rPh sb="5" eb="6">
      <t>スウ</t>
    </rPh>
    <phoneticPr fontId="6"/>
  </si>
  <si>
    <t>支払実績：基本使用料</t>
    <rPh sb="0" eb="2">
      <t>シハラ</t>
    </rPh>
    <rPh sb="2" eb="4">
      <t>ジッセキ</t>
    </rPh>
    <rPh sb="5" eb="10">
      <t>キホンシヨウリョウ</t>
    </rPh>
    <phoneticPr fontId="6"/>
  </si>
  <si>
    <t>支払実績：アカウント使用料金</t>
    <rPh sb="0" eb="2">
      <t>シハライ</t>
    </rPh>
    <rPh sb="2" eb="4">
      <t>ジッセキ</t>
    </rPh>
    <rPh sb="10" eb="12">
      <t>シヨウ</t>
    </rPh>
    <rPh sb="12" eb="14">
      <t>リョウキン</t>
    </rPh>
    <phoneticPr fontId="6"/>
  </si>
  <si>
    <t>月平均</t>
    <rPh sb="0" eb="3">
      <t>ツキヘイキン</t>
    </rPh>
    <phoneticPr fontId="6"/>
  </si>
  <si>
    <t>アカウント増加</t>
    <rPh sb="5" eb="7">
      <t>ゾウカ</t>
    </rPh>
    <phoneticPr fontId="6"/>
  </si>
  <si>
    <t>経企実績</t>
    <rPh sb="0" eb="2">
      <t>ケイキ</t>
    </rPh>
    <rPh sb="2" eb="4">
      <t>ジッセキ</t>
    </rPh>
    <phoneticPr fontId="6"/>
  </si>
  <si>
    <t>請求実績</t>
    <rPh sb="0" eb="4">
      <t>セイキュウジッセキ</t>
    </rPh>
    <phoneticPr fontId="6"/>
  </si>
  <si>
    <t>株式会社インターネットイニシアティブ(IIJ)プライバシー保護規制</t>
  </si>
  <si>
    <t>OneTrustライセンス</t>
    <phoneticPr fontId="6"/>
  </si>
  <si>
    <t>支払予算</t>
    <rPh sb="0" eb="2">
      <t>シハライ</t>
    </rPh>
    <rPh sb="2" eb="4">
      <t>ヨサン</t>
    </rPh>
    <phoneticPr fontId="6"/>
  </si>
  <si>
    <t>経営企画実績</t>
    <rPh sb="0" eb="2">
      <t>ケイエイ</t>
    </rPh>
    <rPh sb="2" eb="4">
      <t>キカク</t>
    </rPh>
    <rPh sb="4" eb="6">
      <t>ジッセキ</t>
    </rPh>
    <phoneticPr fontId="6"/>
  </si>
  <si>
    <t>横河からレンタルしているSurface用タイプカバーの予算だそう</t>
    <rPh sb="0" eb="2">
      <t>ヨコカワ</t>
    </rPh>
    <rPh sb="19" eb="20">
      <t>ヨウ</t>
    </rPh>
    <rPh sb="27" eb="29">
      <t>ヨサン</t>
    </rPh>
    <phoneticPr fontId="6"/>
  </si>
  <si>
    <t>井上さんに確認したところ、消耗品として予算計上しているそうなので、2025年度も同額ぐらいで予算化してほしいと言われました</t>
    <rPh sb="0" eb="2">
      <t>イノウエ</t>
    </rPh>
    <rPh sb="5" eb="7">
      <t>カクニン</t>
    </rPh>
    <rPh sb="13" eb="16">
      <t>ショウモウヒン</t>
    </rPh>
    <rPh sb="19" eb="21">
      <t>ヨサン</t>
    </rPh>
    <rPh sb="21" eb="23">
      <t>ケイジョウ</t>
    </rPh>
    <rPh sb="37" eb="39">
      <t>ネンド</t>
    </rPh>
    <rPh sb="40" eb="42">
      <t>ドウガク</t>
    </rPh>
    <rPh sb="46" eb="48">
      <t>ヨサン</t>
    </rPh>
    <rPh sb="48" eb="49">
      <t>カ</t>
    </rPh>
    <rPh sb="55" eb="56">
      <t>イ</t>
    </rPh>
    <phoneticPr fontId="6"/>
  </si>
  <si>
    <t>2026年予算</t>
    <rPh sb="4" eb="7">
      <t>ネンヨサン</t>
    </rPh>
    <phoneticPr fontId="6"/>
  </si>
  <si>
    <t>基本的には</t>
  </si>
  <si>
    <t>月額料金</t>
    <rPh sb="0" eb="2">
      <t>ゲツガク</t>
    </rPh>
    <rPh sb="2" eb="4">
      <t>リョウキン</t>
    </rPh>
    <phoneticPr fontId="6"/>
  </si>
  <si>
    <r>
      <t>Surface</t>
    </r>
    <r>
      <rPr>
        <sz val="11"/>
        <color rgb="FFFF0000"/>
        <rFont val="游ゴシック"/>
        <family val="3"/>
        <charset val="128"/>
        <scheme val="minor"/>
      </rPr>
      <t>のドックとタイプカーバー代になる</t>
    </r>
  </si>
  <si>
    <r>
      <t>2025/11</t>
    </r>
    <r>
      <rPr>
        <sz val="11"/>
        <color rgb="FFFF0000"/>
        <rFont val="游ゴシック"/>
        <family val="3"/>
        <charset val="128"/>
        <scheme val="minor"/>
      </rPr>
      <t>月に返却済みのため予算発生なし</t>
    </r>
  </si>
  <si>
    <t>ﾀｲﾌﾟｶﾊﾞｰ他</t>
    <phoneticPr fontId="6"/>
  </si>
  <si>
    <t>2025年</t>
    <rPh sb="4" eb="5">
      <t>ネン</t>
    </rPh>
    <phoneticPr fontId="6"/>
  </si>
  <si>
    <t>ﾏｲｸﾛｿﾌﾄ Surfaceﾄﾞｯｸﾞ（PF3-00010）SurfacePro3/Pro4 用ﾄﾞｯｸ</t>
  </si>
  <si>
    <t>Signatureﾀｲﾌﾟｶﾊﾞｰ(ﾌﾞﾗｯｸ)</t>
  </si>
  <si>
    <t>参考</t>
    <rPh sb="0" eb="2">
      <t>サンコウ</t>
    </rPh>
    <phoneticPr fontId="6"/>
  </si>
  <si>
    <t>製品カスタマイズ | レノボ・ ジャパン (lenovo.com)</t>
  </si>
  <si>
    <t>ﾚﾉﾎﾞ･ｼﾞｬﾊﾟﾝ㈱　ThinkPad X13 英語版</t>
    <phoneticPr fontId="6"/>
  </si>
  <si>
    <t>※2025年度は予算がなかった</t>
    <rPh sb="5" eb="7">
      <t>ネンド</t>
    </rPh>
    <rPh sb="8" eb="10">
      <t>ヨサン</t>
    </rPh>
    <phoneticPr fontId="6"/>
  </si>
  <si>
    <t>計算用</t>
  </si>
  <si>
    <t>台数のみ</t>
  </si>
  <si>
    <t>ASIS</t>
    <phoneticPr fontId="10"/>
  </si>
  <si>
    <t>1月</t>
  </si>
  <si>
    <t>HP Elite SFF 800 G9 PC (4G087AV)</t>
  </si>
  <si>
    <t>LIFE BOOK U9313</t>
  </si>
  <si>
    <t>SurfacePro8</t>
  </si>
  <si>
    <t>ThinkPad L13Gen2</t>
  </si>
  <si>
    <t>ThinkPad X13 Gen 4</t>
  </si>
  <si>
    <t>ThinkPad X13 Gen5</t>
  </si>
  <si>
    <t>ThinkPad X13Gen3</t>
  </si>
  <si>
    <t>ThinkPad X13Gen3 PN</t>
  </si>
  <si>
    <t>ThinkPadL13Gen4</t>
  </si>
  <si>
    <t>返却</t>
    <rPh sb="0" eb="2">
      <t>ヘンキャク</t>
    </rPh>
    <phoneticPr fontId="10"/>
  </si>
  <si>
    <t>新規</t>
    <rPh sb="0" eb="2">
      <t>シンキ</t>
    </rPh>
    <phoneticPr fontId="10"/>
  </si>
  <si>
    <t>フロントPC</t>
  </si>
  <si>
    <t>新規</t>
  </si>
  <si>
    <t>バックPC</t>
  </si>
  <si>
    <t>ハイスペックPC</t>
  </si>
  <si>
    <t>リプレース</t>
  </si>
  <si>
    <t>支払（予測）</t>
    <rPh sb="0" eb="2">
      <t>シハライ</t>
    </rPh>
    <rPh sb="3" eb="5">
      <t>ヨソク</t>
    </rPh>
    <phoneticPr fontId="6"/>
  </si>
  <si>
    <t>現行</t>
  </si>
  <si>
    <t>変更不可（自動計算）</t>
  </si>
  <si>
    <t>金額</t>
    <rPh sb="0" eb="2">
      <t>キンガク</t>
    </rPh>
    <phoneticPr fontId="10"/>
  </si>
  <si>
    <t>削減</t>
  </si>
  <si>
    <t>合算</t>
  </si>
  <si>
    <t>三菱HCｷｬﾋﾟﾀﾙITﾊﾟｰﾄﾅｰｽﾞ㈱</t>
  </si>
  <si>
    <t>ｿﾌﾄﾊﾞﾝｸ㈱</t>
  </si>
  <si>
    <t>ThinkPad X13 Gen3</t>
  </si>
  <si>
    <t>ThinkPad X13 Gen4</t>
  </si>
  <si>
    <t>ﾊﾟｼﾌｨｯｸﾈｯﾄ㈱</t>
  </si>
  <si>
    <t> </t>
  </si>
  <si>
    <t>横河ﾚﾝﾀ･ﾘｰｽ㈱</t>
  </si>
  <si>
    <t>ThinkPad L13 Gen2</t>
  </si>
  <si>
    <t>Surface Pro8</t>
  </si>
  <si>
    <t>ThinkPadL13Gen4（Gen2の交換機）</t>
  </si>
  <si>
    <t>Pacific Net 価格</t>
  </si>
  <si>
    <t>2025年調達計画</t>
    <rPh sb="4" eb="5">
      <t>ネン</t>
    </rPh>
    <rPh sb="5" eb="7">
      <t>チョウタツ</t>
    </rPh>
    <rPh sb="7" eb="9">
      <t>ケイカク</t>
    </rPh>
    <phoneticPr fontId="6"/>
  </si>
  <si>
    <t>リプレース</t>
    <phoneticPr fontId="6"/>
  </si>
  <si>
    <t>FMI増員分</t>
    <rPh sb="3" eb="5">
      <t>ゾウイン</t>
    </rPh>
    <rPh sb="5" eb="6">
      <t>ブン</t>
    </rPh>
    <phoneticPr fontId="6"/>
  </si>
  <si>
    <t>FCI増員分</t>
    <rPh sb="3" eb="6">
      <t>ゾウインブン</t>
    </rPh>
    <phoneticPr fontId="6"/>
  </si>
  <si>
    <t>案1：2025年度追加台数を1月から予算計上するケース</t>
    <rPh sb="0" eb="1">
      <t>アン</t>
    </rPh>
    <rPh sb="7" eb="9">
      <t>ネンド</t>
    </rPh>
    <rPh sb="9" eb="11">
      <t>ツイカ</t>
    </rPh>
    <rPh sb="11" eb="13">
      <t>ダイスウ</t>
    </rPh>
    <rPh sb="15" eb="16">
      <t>ガツ</t>
    </rPh>
    <rPh sb="18" eb="20">
      <t>ヨサン</t>
    </rPh>
    <rPh sb="20" eb="22">
      <t>ケイジョウ</t>
    </rPh>
    <phoneticPr fontId="10"/>
  </si>
  <si>
    <t>2025予算</t>
    <rPh sb="4" eb="6">
      <t>ヨサン</t>
    </rPh>
    <phoneticPr fontId="6"/>
  </si>
  <si>
    <t>契約継続/新規調達</t>
    <rPh sb="0" eb="2">
      <t>ケイヤク</t>
    </rPh>
    <rPh sb="2" eb="4">
      <t>ケイゾク</t>
    </rPh>
    <rPh sb="5" eb="7">
      <t>シンキ</t>
    </rPh>
    <rPh sb="7" eb="9">
      <t>チョウタツ</t>
    </rPh>
    <phoneticPr fontId="10"/>
  </si>
  <si>
    <t>レンタル会社</t>
    <rPh sb="4" eb="6">
      <t>カイシャ</t>
    </rPh>
    <phoneticPr fontId="6"/>
  </si>
  <si>
    <t>機種</t>
    <rPh sb="0" eb="2">
      <t>キシュ</t>
    </rPh>
    <phoneticPr fontId="6"/>
  </si>
  <si>
    <t>現状台数</t>
    <rPh sb="0" eb="2">
      <t>ゲンジョウ</t>
    </rPh>
    <rPh sb="2" eb="4">
      <t>ダイスウ</t>
    </rPh>
    <phoneticPr fontId="6"/>
  </si>
  <si>
    <t>単価</t>
    <rPh sb="0" eb="2">
      <t>タンカ</t>
    </rPh>
    <phoneticPr fontId="6"/>
  </si>
  <si>
    <t>FMI増員</t>
    <rPh sb="3" eb="5">
      <t>ゾウイン</t>
    </rPh>
    <phoneticPr fontId="6"/>
  </si>
  <si>
    <t>FCI増員</t>
    <rPh sb="3" eb="5">
      <t>ゾウイン</t>
    </rPh>
    <phoneticPr fontId="10"/>
  </si>
  <si>
    <t>1月</t>
    <rPh sb="1" eb="2">
      <t>ガツ</t>
    </rPh>
    <phoneticPr fontId="10"/>
  </si>
  <si>
    <t>2月</t>
    <rPh sb="1" eb="2">
      <t>ガツ</t>
    </rPh>
    <phoneticPr fontId="10"/>
  </si>
  <si>
    <t>月額</t>
    <rPh sb="0" eb="2">
      <t>ゲツガク</t>
    </rPh>
    <phoneticPr fontId="10"/>
  </si>
  <si>
    <t>-</t>
    <phoneticPr fontId="10"/>
  </si>
  <si>
    <t>横河</t>
    <rPh sb="0" eb="2">
      <t>ヨコカワ</t>
    </rPh>
    <phoneticPr fontId="6"/>
  </si>
  <si>
    <t>X390</t>
    <phoneticPr fontId="6"/>
  </si>
  <si>
    <t>X13Gen1</t>
    <phoneticPr fontId="6"/>
  </si>
  <si>
    <t>契約継続</t>
    <rPh sb="0" eb="2">
      <t>ケイヤク</t>
    </rPh>
    <rPh sb="2" eb="4">
      <t>ケイゾク</t>
    </rPh>
    <phoneticPr fontId="10"/>
  </si>
  <si>
    <t>L13Gen2</t>
    <phoneticPr fontId="6"/>
  </si>
  <si>
    <t>契約継続</t>
    <rPh sb="0" eb="4">
      <t>ケイヤクケイゾク</t>
    </rPh>
    <phoneticPr fontId="10"/>
  </si>
  <si>
    <t>ドック</t>
  </si>
  <si>
    <t>キーボード</t>
  </si>
  <si>
    <t>高性能PC</t>
    <rPh sb="0" eb="3">
      <t>コウセイノウ</t>
    </rPh>
    <phoneticPr fontId="6"/>
  </si>
  <si>
    <t>HPデスクトップ</t>
  </si>
  <si>
    <t>X13Gen3</t>
  </si>
  <si>
    <t>X13Gen4</t>
    <phoneticPr fontId="10"/>
  </si>
  <si>
    <t>大塚商会＋DRS</t>
    <rPh sb="0" eb="4">
      <t>オオツカショウカイ</t>
    </rPh>
    <phoneticPr fontId="10"/>
  </si>
  <si>
    <t>LIFE BOOK U9313</t>
    <phoneticPr fontId="10"/>
  </si>
  <si>
    <t>新規調達</t>
    <rPh sb="0" eb="4">
      <t>シンキチョウタツ</t>
    </rPh>
    <phoneticPr fontId="10"/>
  </si>
  <si>
    <t>月額合計</t>
    <rPh sb="0" eb="2">
      <t>ゲツガク</t>
    </rPh>
    <rPh sb="2" eb="4">
      <t>ゴウケイ</t>
    </rPh>
    <phoneticPr fontId="6"/>
  </si>
  <si>
    <t>案2：ある程+A27:X44度追加予測をするケース</t>
    <rPh sb="0" eb="1">
      <t>アン</t>
    </rPh>
    <phoneticPr fontId="6"/>
  </si>
  <si>
    <t>月額合計</t>
    <rPh sb="0" eb="2">
      <t>ゲツガク</t>
    </rPh>
    <rPh sb="2" eb="4">
      <t>ゴウケイ</t>
    </rPh>
    <phoneticPr fontId="10"/>
  </si>
  <si>
    <t>予算</t>
    <rPh sb="0" eb="2">
      <t>ヨサン</t>
    </rPh>
    <phoneticPr fontId="10"/>
  </si>
  <si>
    <t>備考</t>
    <rPh sb="0" eb="2">
      <t>ビコウ</t>
    </rPh>
    <phoneticPr fontId="10"/>
  </si>
  <si>
    <t>2024年度予算</t>
    <rPh sb="4" eb="6">
      <t>ネンド</t>
    </rPh>
    <rPh sb="6" eb="8">
      <t>ヨサン</t>
    </rPh>
    <phoneticPr fontId="10"/>
  </si>
  <si>
    <t>2024年度支払実績</t>
    <rPh sb="4" eb="6">
      <t>ネンド</t>
    </rPh>
    <rPh sb="6" eb="8">
      <t>シハライ</t>
    </rPh>
    <rPh sb="8" eb="10">
      <t>ジッセキ</t>
    </rPh>
    <phoneticPr fontId="10"/>
  </si>
  <si>
    <t>横河</t>
    <rPh sb="0" eb="2">
      <t>ヨコカワ</t>
    </rPh>
    <phoneticPr fontId="10"/>
  </si>
  <si>
    <t>ソフトバンク</t>
    <phoneticPr fontId="10"/>
  </si>
  <si>
    <t>DRS</t>
    <phoneticPr fontId="10"/>
  </si>
  <si>
    <t>2024年度予算差額</t>
    <rPh sb="4" eb="6">
      <t>ネンド</t>
    </rPh>
    <rPh sb="6" eb="8">
      <t>ヨサン</t>
    </rPh>
    <rPh sb="8" eb="10">
      <t>サガク</t>
    </rPh>
    <phoneticPr fontId="10"/>
  </si>
  <si>
    <t>2024年度追加実績</t>
    <rPh sb="4" eb="6">
      <t>ネンド</t>
    </rPh>
    <rPh sb="6" eb="8">
      <t>ツイカ</t>
    </rPh>
    <rPh sb="8" eb="10">
      <t>ジッセキ</t>
    </rPh>
    <phoneticPr fontId="10"/>
  </si>
  <si>
    <t>2023年追加分</t>
    <rPh sb="4" eb="5">
      <t>ネン</t>
    </rPh>
    <rPh sb="5" eb="8">
      <t>ツイカブン</t>
    </rPh>
    <phoneticPr fontId="10"/>
  </si>
  <si>
    <t>LIFEBOOK U9313/NX</t>
  </si>
  <si>
    <t>X13Gen4</t>
  </si>
  <si>
    <t>2024年調達計画</t>
    <rPh sb="4" eb="5">
      <t>ネン</t>
    </rPh>
    <rPh sb="5" eb="7">
      <t>チョウタツ</t>
    </rPh>
    <rPh sb="7" eb="9">
      <t>ケイカク</t>
    </rPh>
    <phoneticPr fontId="10"/>
  </si>
  <si>
    <t>案3：新規レンタル単価を4,500にした場合</t>
    <rPh sb="0" eb="1">
      <t>アン</t>
    </rPh>
    <rPh sb="3" eb="5">
      <t>シンキ</t>
    </rPh>
    <rPh sb="9" eb="11">
      <t>タンカ</t>
    </rPh>
    <rPh sb="20" eb="22">
      <t>バアイ</t>
    </rPh>
    <phoneticPr fontId="10"/>
  </si>
  <si>
    <t>見直し案</t>
    <rPh sb="0" eb="2">
      <t>ミナオ</t>
    </rPh>
    <rPh sb="3" eb="4">
      <t>アン</t>
    </rPh>
    <phoneticPr fontId="6"/>
  </si>
  <si>
    <t>案２をベース</t>
    <rPh sb="0" eb="1">
      <t>アン</t>
    </rPh>
    <phoneticPr fontId="6"/>
  </si>
  <si>
    <t>正し主要PCをベンダ変更で値下げた場合</t>
    <rPh sb="0" eb="1">
      <t>タダ</t>
    </rPh>
    <rPh sb="2" eb="4">
      <t>シュヨウ</t>
    </rPh>
    <rPh sb="10" eb="12">
      <t>ヘンコウ</t>
    </rPh>
    <rPh sb="13" eb="15">
      <t>ネサ</t>
    </rPh>
    <rPh sb="17" eb="19">
      <t>バアイ</t>
    </rPh>
    <phoneticPr fontId="6"/>
  </si>
  <si>
    <t>案２月額</t>
    <rPh sb="0" eb="1">
      <t>アン</t>
    </rPh>
    <rPh sb="2" eb="4">
      <t>ゲツガク</t>
    </rPh>
    <phoneticPr fontId="6"/>
  </si>
  <si>
    <t>合計</t>
  </si>
  <si>
    <t>現行予算</t>
    <rPh sb="0" eb="2">
      <t>ゲンコウ</t>
    </rPh>
    <rPh sb="2" eb="4">
      <t>ヨサン</t>
    </rPh>
    <phoneticPr fontId="10"/>
  </si>
  <si>
    <t>X390</t>
  </si>
  <si>
    <t>X13Gen1</t>
  </si>
  <si>
    <t>L13Gen2</t>
  </si>
  <si>
    <t>請求実績</t>
    <rPh sb="0" eb="2">
      <t>セイキュウ</t>
    </rPh>
    <rPh sb="2" eb="4">
      <t>ジッセキ</t>
    </rPh>
    <phoneticPr fontId="6"/>
  </si>
  <si>
    <t>ソフトバンク株式会社（MSS）№T9130728364</t>
  </si>
  <si>
    <t>サイバーセキュリティ強化対策　MSS月額</t>
    <phoneticPr fontId="6"/>
  </si>
  <si>
    <t>LAN設備保守19/7-24/6</t>
    <phoneticPr fontId="6"/>
  </si>
  <si>
    <t>ライセンス数</t>
    <rPh sb="5" eb="6">
      <t>スウ</t>
    </rPh>
    <phoneticPr fontId="6"/>
  </si>
  <si>
    <t>契約期間</t>
    <rPh sb="0" eb="2">
      <t>ケイヤク</t>
    </rPh>
    <rPh sb="2" eb="4">
      <t>キカン</t>
    </rPh>
    <phoneticPr fontId="6"/>
  </si>
  <si>
    <t>JIRA Management</t>
    <phoneticPr fontId="6"/>
  </si>
  <si>
    <t xml:space="preserve">JIRA security </t>
    <phoneticPr fontId="6"/>
  </si>
  <si>
    <t>2024/09/23～2025/09/22</t>
    <phoneticPr fontId="6"/>
  </si>
  <si>
    <t>2024/09/26～2025/09/25</t>
    <phoneticPr fontId="6"/>
  </si>
  <si>
    <t>年額</t>
  </si>
  <si>
    <t>JIRA security</t>
    <phoneticPr fontId="6"/>
  </si>
  <si>
    <t>年額合計</t>
    <rPh sb="0" eb="2">
      <t>ネンガク</t>
    </rPh>
    <rPh sb="2" eb="4">
      <t>ゴウケイ</t>
    </rPh>
    <phoneticPr fontId="6"/>
  </si>
  <si>
    <t>予算月額</t>
    <rPh sb="0" eb="4">
      <t>ヨサンゲツガク</t>
    </rPh>
    <phoneticPr fontId="6"/>
  </si>
  <si>
    <t>★契約更新月</t>
    <rPh sb="1" eb="3">
      <t>ケイヤク</t>
    </rPh>
    <rPh sb="3" eb="5">
      <t>コウシン</t>
    </rPh>
    <rPh sb="5" eb="6">
      <t>ツキ</t>
    </rPh>
    <phoneticPr fontId="6"/>
  </si>
  <si>
    <t>Jira service Management9/1-8/31</t>
    <phoneticPr fontId="6"/>
  </si>
  <si>
    <t>2024年度予算</t>
    <rPh sb="4" eb="6">
      <t>ネンド</t>
    </rPh>
    <rPh sb="6" eb="8">
      <t>ヨサン</t>
    </rPh>
    <phoneticPr fontId="6"/>
  </si>
  <si>
    <t>チケット管理システム（JIRA）運用費用</t>
    <phoneticPr fontId="6"/>
  </si>
  <si>
    <t>稟議番号</t>
    <rPh sb="0" eb="4">
      <t>リンギバンゴウ</t>
    </rPh>
    <phoneticPr fontId="6"/>
  </si>
  <si>
    <t>期間</t>
    <rPh sb="0" eb="2">
      <t>キカン</t>
    </rPh>
    <phoneticPr fontId="6"/>
  </si>
  <si>
    <t>3年総額</t>
    <rPh sb="1" eb="2">
      <t>ネン</t>
    </rPh>
    <rPh sb="2" eb="4">
      <t>ソウガク</t>
    </rPh>
    <phoneticPr fontId="6"/>
  </si>
  <si>
    <t>D23-890</t>
    <phoneticPr fontId="6"/>
  </si>
  <si>
    <t>2023/12/1～2026/11/30</t>
    <phoneticPr fontId="6"/>
  </si>
  <si>
    <t>D25-XXX</t>
    <phoneticPr fontId="6"/>
  </si>
  <si>
    <t>2026/12/1～2029/11/30</t>
    <phoneticPr fontId="6"/>
  </si>
  <si>
    <t>(2025/11時点)</t>
    <rPh sb="8" eb="10">
      <t>ジテン</t>
    </rPh>
    <phoneticPr fontId="6"/>
  </si>
  <si>
    <t>2023年</t>
    <phoneticPr fontId="6"/>
  </si>
  <si>
    <t>2024年</t>
    <phoneticPr fontId="6"/>
  </si>
  <si>
    <t>2025年</t>
    <phoneticPr fontId="6"/>
  </si>
  <si>
    <t>2026年</t>
    <phoneticPr fontId="6"/>
  </si>
  <si>
    <t>予定</t>
    <rPh sb="0" eb="2">
      <t>ヨテイ</t>
    </rPh>
    <phoneticPr fontId="6"/>
  </si>
  <si>
    <t>2027年</t>
    <rPh sb="4" eb="5">
      <t>ネン</t>
    </rPh>
    <phoneticPr fontId="6"/>
  </si>
  <si>
    <t>2028年</t>
    <rPh sb="4" eb="5">
      <t>ネン</t>
    </rPh>
    <phoneticPr fontId="6"/>
  </si>
  <si>
    <t>2029年</t>
    <rPh sb="4" eb="5">
      <t>ネン</t>
    </rPh>
    <phoneticPr fontId="6"/>
  </si>
  <si>
    <t>2024年</t>
    <rPh sb="4" eb="5">
      <t>ネン</t>
    </rPh>
    <phoneticPr fontId="6"/>
  </si>
  <si>
    <t>2026年</t>
    <rPh sb="4" eb="5">
      <t>ネン</t>
    </rPh>
    <phoneticPr fontId="6"/>
  </si>
  <si>
    <t>★契約更新</t>
    <rPh sb="1" eb="3">
      <t>ケイヤク</t>
    </rPh>
    <rPh sb="3" eb="5">
      <t>コウシン</t>
    </rPh>
    <phoneticPr fontId="6"/>
  </si>
  <si>
    <t>無線LAN　ｸﾗｳﾄﾞ管理26/12-29/11</t>
    <phoneticPr fontId="6"/>
  </si>
  <si>
    <t>無線LAN　ｸﾗｳﾄﾞ管理23/12-26/11</t>
  </si>
  <si>
    <t>支払実績</t>
    <rPh sb="0" eb="2">
      <t>シハライ</t>
    </rPh>
    <rPh sb="2" eb="4">
      <t>ジッセキ</t>
    </rPh>
    <phoneticPr fontId="6"/>
  </si>
  <si>
    <t>経営企画予算</t>
    <rPh sb="0" eb="4">
      <t>ケイエイキカク</t>
    </rPh>
    <rPh sb="4" eb="6">
      <t>ヨサン</t>
    </rPh>
    <phoneticPr fontId="6"/>
  </si>
  <si>
    <t>　2023/12/01～2026/11/30　の3年契約</t>
  </si>
  <si>
    <t xml:space="preserve">３．費用　 </t>
  </si>
  <si>
    <t xml:space="preserve">   3年合計　945,000円</t>
  </si>
  <si>
    <t>　　予算の内訳</t>
  </si>
  <si>
    <t>　　2023年 \26,250</t>
  </si>
  <si>
    <t xml:space="preserve">     2024年 \315,000</t>
  </si>
  <si>
    <t xml:space="preserve">     2025年 \315,000</t>
  </si>
  <si>
    <t xml:space="preserve">     2026年 \288,750　</t>
  </si>
  <si>
    <t>X-pointユーザーライセンス更新</t>
    <phoneticPr fontId="6"/>
  </si>
  <si>
    <t>追加数量</t>
    <rPh sb="0" eb="2">
      <t>ツイカ</t>
    </rPh>
    <rPh sb="2" eb="4">
      <t>スウリョウ</t>
    </rPh>
    <phoneticPr fontId="6"/>
  </si>
  <si>
    <t>稟議番号</t>
    <rPh sb="0" eb="2">
      <t>リンギ</t>
    </rPh>
    <rPh sb="2" eb="4">
      <t>バンゴウ</t>
    </rPh>
    <phoneticPr fontId="6"/>
  </si>
  <si>
    <t>2024/10/11 から 2025/10/10</t>
  </si>
  <si>
    <t>2025/10/11 から 2026/10/10</t>
    <phoneticPr fontId="6"/>
  </si>
  <si>
    <t>2024年度～2025年度</t>
    <rPh sb="4" eb="6">
      <t>ネンド</t>
    </rPh>
    <rPh sb="11" eb="13">
      <t>ネンド</t>
    </rPh>
    <phoneticPr fontId="6"/>
  </si>
  <si>
    <t>2025年度～2026年度</t>
    <rPh sb="4" eb="6">
      <t>ネンド</t>
    </rPh>
    <rPh sb="11" eb="13">
      <t>ネンド</t>
    </rPh>
    <phoneticPr fontId="6"/>
  </si>
  <si>
    <t>10ライセンス追加費用</t>
    <rPh sb="7" eb="11">
      <t>ツイカヒヨウ</t>
    </rPh>
    <phoneticPr fontId="6"/>
  </si>
  <si>
    <t>10ライセンス追加費用追加サポートサービス料</t>
    <rPh sb="7" eb="11">
      <t>ツイカヒヨウ</t>
    </rPh>
    <rPh sb="11" eb="13">
      <t>ツイカ</t>
    </rPh>
    <rPh sb="21" eb="22">
      <t>リョウ</t>
    </rPh>
    <phoneticPr fontId="6"/>
  </si>
  <si>
    <t>X-point年間保守料22/10-23/09</t>
    <phoneticPr fontId="6"/>
  </si>
  <si>
    <t>～2026年8月29日</t>
    <rPh sb="5" eb="6">
      <t>ネン</t>
    </rPh>
    <rPh sb="7" eb="8">
      <t>ガツ</t>
    </rPh>
    <rPh sb="10" eb="11">
      <t>ヒ</t>
    </rPh>
    <phoneticPr fontId="6"/>
  </si>
  <si>
    <t>2026年9月～</t>
    <rPh sb="4" eb="5">
      <t>ネン</t>
    </rPh>
    <rPh sb="6" eb="7">
      <t>ガツ</t>
    </rPh>
    <phoneticPr fontId="6"/>
  </si>
  <si>
    <t>★入社・昇格対応での10ライセンス追加を想定</t>
    <rPh sb="1" eb="3">
      <t>ニュウシャ</t>
    </rPh>
    <rPh sb="4" eb="6">
      <t>ショウカク</t>
    </rPh>
    <rPh sb="6" eb="8">
      <t>タイオウ</t>
    </rPh>
    <rPh sb="17" eb="19">
      <t>ツイカ</t>
    </rPh>
    <rPh sb="20" eb="22">
      <t>ソウテイ</t>
    </rPh>
    <phoneticPr fontId="6"/>
  </si>
  <si>
    <t>→★契約終了　X-pointCloud移行で予算化</t>
    <rPh sb="2" eb="6">
      <t>ケイヤクシュウリョウ</t>
    </rPh>
    <rPh sb="19" eb="21">
      <t>イコウ</t>
    </rPh>
    <rPh sb="22" eb="25">
      <t>ヨサンカ</t>
    </rPh>
    <phoneticPr fontId="6"/>
  </si>
  <si>
    <t>X-point年間保守料22/10-23/09</t>
  </si>
  <si>
    <t>原契約</t>
    <rPh sb="0" eb="3">
      <t>ゲンケイヤク</t>
    </rPh>
    <phoneticPr fontId="6"/>
  </si>
  <si>
    <t>D19-540（ServerPCあんしんパック）</t>
  </si>
  <si>
    <t>2023年支払</t>
    <rPh sb="4" eb="7">
      <t>ネンシハライ</t>
    </rPh>
    <phoneticPr fontId="6"/>
  </si>
  <si>
    <t>PY23-2001</t>
    <phoneticPr fontId="6"/>
  </si>
  <si>
    <t>2023/7/25～2024/7/24</t>
    <phoneticPr fontId="6"/>
  </si>
  <si>
    <t>2024年度支払</t>
    <rPh sb="4" eb="6">
      <t>ネンド</t>
    </rPh>
    <rPh sb="6" eb="8">
      <t>シハライ</t>
    </rPh>
    <phoneticPr fontId="6"/>
  </si>
  <si>
    <t>PY24-2221</t>
  </si>
  <si>
    <t>2024/7/25～2025/7/24</t>
    <phoneticPr fontId="6"/>
  </si>
  <si>
    <t>認証管理ｻｰﾊﾞ等年間保守料2023/8-2024/7</t>
    <phoneticPr fontId="6"/>
  </si>
  <si>
    <t>２．契約期間</t>
  </si>
  <si>
    <t>D24-583（HW保守）</t>
    <phoneticPr fontId="6"/>
  </si>
  <si>
    <t>2024/07/22 - 2025/07/21</t>
    <phoneticPr fontId="6"/>
  </si>
  <si>
    <t>ｻｰﾊﾞ保守19/7-24/6</t>
    <phoneticPr fontId="6"/>
  </si>
  <si>
    <t>D24-573</t>
    <phoneticPr fontId="6"/>
  </si>
  <si>
    <t>2024/07/02 - 2025/07/01</t>
    <phoneticPr fontId="6"/>
  </si>
  <si>
    <t>UPS保守更新料24/7-25/6</t>
    <phoneticPr fontId="6"/>
  </si>
  <si>
    <t>2023年ライセンス数</t>
    <rPh sb="4" eb="5">
      <t>ネン</t>
    </rPh>
    <rPh sb="10" eb="11">
      <t>スウ</t>
    </rPh>
    <phoneticPr fontId="6"/>
  </si>
  <si>
    <t>2024年ライセンス数</t>
    <rPh sb="4" eb="5">
      <t>ネン</t>
    </rPh>
    <rPh sb="10" eb="11">
      <t>スウ</t>
    </rPh>
    <phoneticPr fontId="6"/>
  </si>
  <si>
    <t>2025年度ライセンス数</t>
    <rPh sb="4" eb="6">
      <t>ネンド</t>
    </rPh>
    <rPh sb="11" eb="12">
      <t>スウ</t>
    </rPh>
    <phoneticPr fontId="6"/>
  </si>
  <si>
    <t>2023年</t>
    <rPh sb="4" eb="5">
      <t>ネン</t>
    </rPh>
    <phoneticPr fontId="6"/>
  </si>
  <si>
    <t>１YR/単価</t>
    <rPh sb="4" eb="6">
      <t>タンカ</t>
    </rPh>
    <phoneticPr fontId="6"/>
  </si>
  <si>
    <t>単価（+10%）後</t>
    <rPh sb="0" eb="2">
      <t>タンカ</t>
    </rPh>
    <rPh sb="8" eb="9">
      <t>ゴ</t>
    </rPh>
    <phoneticPr fontId="6"/>
  </si>
  <si>
    <t>SKYSEA LT CL</t>
    <phoneticPr fontId="6"/>
  </si>
  <si>
    <t>2026年度予算</t>
    <rPh sb="4" eb="8">
      <t>ネンドヨサン</t>
    </rPh>
    <phoneticPr fontId="6"/>
  </si>
  <si>
    <t>SKYSEA Client View LTクライアントL</t>
    <phoneticPr fontId="6"/>
  </si>
  <si>
    <t>SKYSEA Client View LTサーバーL 保守</t>
    <phoneticPr fontId="6"/>
  </si>
  <si>
    <t>2025年実績より約9万Down</t>
    <rPh sb="4" eb="7">
      <t>ネンジッセキ</t>
    </rPh>
    <rPh sb="9" eb="10">
      <t>ヤク</t>
    </rPh>
    <rPh sb="11" eb="12">
      <t>マン</t>
    </rPh>
    <phoneticPr fontId="6"/>
  </si>
  <si>
    <t>SKYSEA Client View LTクライアントL(W/M/L)(500-699)</t>
    <phoneticPr fontId="6"/>
  </si>
  <si>
    <t>Down理由</t>
    <rPh sb="4" eb="6">
      <t>リユウ</t>
    </rPh>
    <phoneticPr fontId="6"/>
  </si>
  <si>
    <t>2025年の実績を反映した結果</t>
    <rPh sb="4" eb="5">
      <t>ネン</t>
    </rPh>
    <rPh sb="6" eb="8">
      <t>ジッセキ</t>
    </rPh>
    <rPh sb="9" eb="11">
      <t>ハンエイ</t>
    </rPh>
    <rPh sb="13" eb="15">
      <t>ケッカ</t>
    </rPh>
    <phoneticPr fontId="6"/>
  </si>
  <si>
    <t>2024年予算</t>
    <rPh sb="4" eb="7">
      <t>ネンヨサン</t>
    </rPh>
    <phoneticPr fontId="6"/>
  </si>
  <si>
    <t>2025年度予算</t>
    <rPh sb="4" eb="6">
      <t>ネンド</t>
    </rPh>
    <rPh sb="6" eb="8">
      <t>ヨサン</t>
    </rPh>
    <phoneticPr fontId="6"/>
  </si>
  <si>
    <t>★契約更新月</t>
    <rPh sb="1" eb="3">
      <t>ケイヤク</t>
    </rPh>
    <rPh sb="3" eb="6">
      <t>コウシンツキ</t>
    </rPh>
    <phoneticPr fontId="6"/>
  </si>
  <si>
    <t>SKYSEA保守23/4-24/3</t>
    <phoneticPr fontId="6"/>
  </si>
  <si>
    <t>2026年度予算-2025年度予算</t>
    <rPh sb="4" eb="6">
      <t>ネンド</t>
    </rPh>
    <rPh sb="6" eb="8">
      <t>ヨサン</t>
    </rPh>
    <rPh sb="13" eb="17">
      <t>ネンドヨサン</t>
    </rPh>
    <phoneticPr fontId="6"/>
  </si>
  <si>
    <t>予算</t>
  </si>
  <si>
    <t>500ライセンスで更新</t>
    <rPh sb="9" eb="11">
      <t>コウシン</t>
    </rPh>
    <phoneticPr fontId="6"/>
  </si>
  <si>
    <t>予算残</t>
    <rPh sb="0" eb="3">
      <t>ヨサンザン</t>
    </rPh>
    <phoneticPr fontId="6"/>
  </si>
  <si>
    <t>WISEAlert</t>
    <phoneticPr fontId="6"/>
  </si>
  <si>
    <t>1YR/単価</t>
    <rPh sb="4" eb="6">
      <t>タンカ</t>
    </rPh>
    <phoneticPr fontId="6"/>
  </si>
  <si>
    <t>追加ライセンス</t>
    <rPh sb="0" eb="2">
      <t>ツイカ</t>
    </rPh>
    <phoneticPr fontId="6"/>
  </si>
  <si>
    <t>保守～500まで</t>
    <rPh sb="0" eb="2">
      <t>ホシュ</t>
    </rPh>
    <phoneticPr fontId="6"/>
  </si>
  <si>
    <t>WISEAlertオンライン版</t>
    <rPh sb="14" eb="15">
      <t>バン</t>
    </rPh>
    <phoneticPr fontId="6"/>
  </si>
  <si>
    <t>初期設定費用</t>
    <phoneticPr fontId="6"/>
  </si>
  <si>
    <t>導入支援費用</t>
    <rPh sb="0" eb="2">
      <t>ドウニュウ</t>
    </rPh>
    <rPh sb="2" eb="6">
      <t>シエンヒヨウ</t>
    </rPh>
    <phoneticPr fontId="6"/>
  </si>
  <si>
    <t>ランニング</t>
    <phoneticPr fontId="6"/>
  </si>
  <si>
    <t>WISEAlertアプリ版</t>
    <rPh sb="12" eb="13">
      <t>バン</t>
    </rPh>
    <phoneticPr fontId="6"/>
  </si>
  <si>
    <t>既存契約満了日：2025年5月14日</t>
    <phoneticPr fontId="6"/>
  </si>
  <si>
    <t>追加</t>
    <rPh sb="0" eb="2">
      <t>ツイカ</t>
    </rPh>
    <phoneticPr fontId="6"/>
  </si>
  <si>
    <t>プラス50して予算化</t>
    <rPh sb="7" eb="10">
      <t>ヨサンカ</t>
    </rPh>
    <phoneticPr fontId="6"/>
  </si>
  <si>
    <t>メール誤送信防止ソフト（WiseAlert）23/6-24/5</t>
    <phoneticPr fontId="6"/>
  </si>
  <si>
    <t>2026年予算-2025年予算</t>
    <rPh sb="4" eb="5">
      <t>ネン</t>
    </rPh>
    <rPh sb="5" eb="7">
      <t>ヨサン</t>
    </rPh>
    <rPh sb="12" eb="15">
      <t>ネンヨサン</t>
    </rPh>
    <phoneticPr fontId="6"/>
  </si>
  <si>
    <t>2026年予算-2025年実績</t>
    <rPh sb="4" eb="5">
      <t>ネン</t>
    </rPh>
    <rPh sb="5" eb="7">
      <t>ヨサン</t>
    </rPh>
    <rPh sb="12" eb="13">
      <t>ネン</t>
    </rPh>
    <rPh sb="13" eb="15">
      <t>ジッセキ</t>
    </rPh>
    <phoneticPr fontId="6"/>
  </si>
  <si>
    <t>契約期間：2023/5/15～2024/5/14</t>
    <rPh sb="0" eb="2">
      <t>ケイヤク</t>
    </rPh>
    <rPh sb="2" eb="4">
      <t>キカン</t>
    </rPh>
    <phoneticPr fontId="6"/>
  </si>
  <si>
    <t>契約期間：2024/5/15～2025/5/14</t>
    <rPh sb="0" eb="2">
      <t>ケイヤク</t>
    </rPh>
    <rPh sb="2" eb="4">
      <t>キカン</t>
    </rPh>
    <phoneticPr fontId="6"/>
  </si>
  <si>
    <t>富士フイルムビジネスイノベーションジャパン株式会社（DeviceLogService）</t>
  </si>
  <si>
    <t>複合機Device Log Service</t>
    <phoneticPr fontId="6"/>
  </si>
  <si>
    <t>D24-665</t>
    <phoneticPr fontId="6"/>
  </si>
  <si>
    <t>2024/8/1～2024/7/31</t>
    <phoneticPr fontId="6"/>
  </si>
  <si>
    <t>ｴﾝﾀｰﾌﾟﾗｲｽｻｰﾋﾞｽ2023/8-2024/7</t>
    <phoneticPr fontId="6"/>
  </si>
  <si>
    <t>TeanViewerPremium</t>
    <phoneticPr fontId="6"/>
  </si>
  <si>
    <t>eamViewer Addon Channels</t>
    <phoneticPr fontId="6"/>
  </si>
  <si>
    <t>2026年度予算</t>
    <rPh sb="4" eb="6">
      <t>ネンド</t>
    </rPh>
    <rPh sb="6" eb="8">
      <t>ヨサン</t>
    </rPh>
    <phoneticPr fontId="6"/>
  </si>
  <si>
    <t>TeamViewerﾗｲｾﾝｽ</t>
    <phoneticPr fontId="6"/>
  </si>
  <si>
    <t>2026年予算-2025年予算</t>
    <rPh sb="4" eb="7">
      <t>ネンヨサン</t>
    </rPh>
    <rPh sb="12" eb="15">
      <t>ネンヨサン</t>
    </rPh>
    <phoneticPr fontId="6"/>
  </si>
  <si>
    <t>2026年予算-2025年実績</t>
    <rPh sb="4" eb="7">
      <t>ネンヨサン</t>
    </rPh>
    <rPh sb="12" eb="13">
      <t>ネン</t>
    </rPh>
    <rPh sb="13" eb="15">
      <t>ジッセキ</t>
    </rPh>
    <phoneticPr fontId="6"/>
  </si>
  <si>
    <t>既存数量</t>
    <rPh sb="0" eb="2">
      <t>キゾン</t>
    </rPh>
    <rPh sb="2" eb="4">
      <t>スウリョウ</t>
    </rPh>
    <phoneticPr fontId="6"/>
  </si>
  <si>
    <t>AcrobatSTD2020分</t>
    <rPh sb="14" eb="15">
      <t>ブン</t>
    </rPh>
    <phoneticPr fontId="6"/>
  </si>
  <si>
    <t>残数</t>
    <rPh sb="0" eb="2">
      <t>ザンスウ</t>
    </rPh>
    <phoneticPr fontId="6"/>
  </si>
  <si>
    <t>Acrobat Standard</t>
  </si>
  <si>
    <t xml:space="preserve"> Acrobat Pro</t>
  </si>
  <si>
    <t>Acrobatﾗｲｾﾝｽ22/9-23/8</t>
    <phoneticPr fontId="6"/>
  </si>
  <si>
    <t>既存契約</t>
    <rPh sb="0" eb="4">
      <t>キゾンケイヤク</t>
    </rPh>
    <phoneticPr fontId="6"/>
  </si>
  <si>
    <t>既存ライセンス</t>
    <rPh sb="0" eb="2">
      <t>キゾン</t>
    </rPh>
    <phoneticPr fontId="6"/>
  </si>
  <si>
    <t>利用数</t>
    <rPh sb="0" eb="2">
      <t>リヨウ</t>
    </rPh>
    <rPh sb="2" eb="3">
      <t>スウ</t>
    </rPh>
    <phoneticPr fontId="6"/>
  </si>
  <si>
    <t>残数</t>
    <rPh sb="0" eb="1">
      <t>ザン</t>
    </rPh>
    <rPh sb="1" eb="2">
      <t>スウ</t>
    </rPh>
    <phoneticPr fontId="6"/>
  </si>
  <si>
    <t>M365 E5利用料</t>
    <phoneticPr fontId="6"/>
  </si>
  <si>
    <t>★期限3/17 リセラー変更</t>
    <rPh sb="1" eb="3">
      <t>キゲン</t>
    </rPh>
    <rPh sb="12" eb="14">
      <t>ヘンコウ</t>
    </rPh>
    <phoneticPr fontId="6"/>
  </si>
  <si>
    <t>リコーで契約継続した場合</t>
    <rPh sb="4" eb="6">
      <t>ケイヤク</t>
    </rPh>
    <rPh sb="6" eb="8">
      <t>ケイゾク</t>
    </rPh>
    <rPh sb="10" eb="12">
      <t>バアイ</t>
    </rPh>
    <phoneticPr fontId="6"/>
  </si>
  <si>
    <t>年間200万プラス</t>
    <rPh sb="0" eb="2">
      <t>ネンカン</t>
    </rPh>
    <rPh sb="5" eb="6">
      <t>マン</t>
    </rPh>
    <phoneticPr fontId="6"/>
  </si>
  <si>
    <t>ベンダー</t>
    <phoneticPr fontId="6"/>
  </si>
  <si>
    <t>月額単価</t>
    <rPh sb="0" eb="2">
      <t>ゲツガク</t>
    </rPh>
    <rPh sb="2" eb="4">
      <t>タンカ</t>
    </rPh>
    <phoneticPr fontId="6"/>
  </si>
  <si>
    <t>～2026年3月</t>
    <rPh sb="5" eb="6">
      <t>ネン</t>
    </rPh>
    <rPh sb="7" eb="8">
      <t>ガツ</t>
    </rPh>
    <phoneticPr fontId="6"/>
  </si>
  <si>
    <t>2026年4月～</t>
    <rPh sb="4" eb="5">
      <t>ネン</t>
    </rPh>
    <rPh sb="6" eb="7">
      <t>ガツ</t>
    </rPh>
    <phoneticPr fontId="6"/>
  </si>
  <si>
    <t>2025実績</t>
    <rPh sb="4" eb="6">
      <t>ジッセキ</t>
    </rPh>
    <phoneticPr fontId="6"/>
  </si>
  <si>
    <t>Down</t>
    <phoneticPr fontId="6"/>
  </si>
  <si>
    <t>案2：順次増やした場合</t>
    <rPh sb="0" eb="1">
      <t>アン</t>
    </rPh>
    <rPh sb="3" eb="5">
      <t>ジュンジ</t>
    </rPh>
    <rPh sb="5" eb="6">
      <t>フ</t>
    </rPh>
    <rPh sb="9" eb="11">
      <t>バアイ</t>
    </rPh>
    <phoneticPr fontId="6"/>
  </si>
  <si>
    <t>2025年度</t>
    <phoneticPr fontId="6"/>
  </si>
  <si>
    <t>Actual</t>
  </si>
  <si>
    <t>差額</t>
  </si>
  <si>
    <t>Cybereason</t>
  </si>
  <si>
    <t>MSS</t>
  </si>
  <si>
    <t>E3</t>
    <phoneticPr fontId="6"/>
  </si>
  <si>
    <t>E5</t>
    <phoneticPr fontId="6"/>
  </si>
  <si>
    <t>3月</t>
    <rPh sb="1" eb="2">
      <t>ガツ</t>
    </rPh>
    <phoneticPr fontId="6"/>
  </si>
  <si>
    <t>総数</t>
    <rPh sb="0" eb="2">
      <t>ソウスウ</t>
    </rPh>
    <phoneticPr fontId="6"/>
  </si>
  <si>
    <t>←2024年予算</t>
  </si>
  <si>
    <t>Q1予算見直し後</t>
  </si>
  <si>
    <t>予算内ライセンス数</t>
    <rPh sb="0" eb="3">
      <t>ヨサンナイ</t>
    </rPh>
    <rPh sb="8" eb="9">
      <t>スウ</t>
    </rPh>
    <phoneticPr fontId="6"/>
  </si>
  <si>
    <t>ライセンス実績数</t>
    <rPh sb="5" eb="8">
      <t>ジッセキスウ</t>
    </rPh>
    <phoneticPr fontId="6"/>
  </si>
  <si>
    <t>予算実績</t>
    <rPh sb="0" eb="2">
      <t>ヨサン</t>
    </rPh>
    <rPh sb="2" eb="4">
      <t>ジッセキ</t>
    </rPh>
    <phoneticPr fontId="6"/>
  </si>
  <si>
    <t>←2024年見直案</t>
    <rPh sb="5" eb="6">
      <t>ネン</t>
    </rPh>
    <rPh sb="6" eb="7">
      <t>ケン</t>
    </rPh>
    <rPh sb="7" eb="8">
      <t>チョク</t>
    </rPh>
    <rPh sb="8" eb="9">
      <t>アン</t>
    </rPh>
    <phoneticPr fontId="6"/>
  </si>
  <si>
    <t>シャドーIT</t>
    <phoneticPr fontId="6"/>
  </si>
  <si>
    <t>2023予算</t>
  </si>
  <si>
    <t>Budget</t>
  </si>
  <si>
    <t>シャドーIT /5</t>
  </si>
  <si>
    <t>年間差分</t>
  </si>
  <si>
    <t>シャドーITー年間差分</t>
  </si>
  <si>
    <t>★2/16 リセラー変更</t>
    <rPh sb="10" eb="12">
      <t>ヘンコウ</t>
    </rPh>
    <phoneticPr fontId="6"/>
  </si>
  <si>
    <t>Power Automate Premium</t>
    <phoneticPr fontId="6"/>
  </si>
  <si>
    <t>リセラー</t>
    <phoneticPr fontId="6"/>
  </si>
  <si>
    <t>★3/4 リセラー変更</t>
    <rPh sb="9" eb="11">
      <t>ヘンコウ</t>
    </rPh>
    <phoneticPr fontId="6"/>
  </si>
  <si>
    <t>Copilot for Microsoft365</t>
    <phoneticPr fontId="6"/>
  </si>
  <si>
    <t>2026年予算-2025年予算</t>
    <rPh sb="4" eb="7">
      <t>ネンヨサン</t>
    </rPh>
    <rPh sb="12" eb="13">
      <t>ネン</t>
    </rPh>
    <rPh sb="13" eb="15">
      <t>ヨサン</t>
    </rPh>
    <phoneticPr fontId="6"/>
  </si>
  <si>
    <t>リコーで契約継続した場合</t>
    <rPh sb="4" eb="8">
      <t>ケイヤクケイゾク</t>
    </rPh>
    <rPh sb="10" eb="12">
      <t>バアイ</t>
    </rPh>
    <phoneticPr fontId="6"/>
  </si>
  <si>
    <t>年間約5万円プラス</t>
    <rPh sb="0" eb="2">
      <t>ネンカン</t>
    </rPh>
    <rPh sb="2" eb="3">
      <t>ヤク</t>
    </rPh>
    <rPh sb="4" eb="5">
      <t>マン</t>
    </rPh>
    <rPh sb="5" eb="6">
      <t>エン</t>
    </rPh>
    <phoneticPr fontId="6"/>
  </si>
  <si>
    <t>現状維持</t>
    <rPh sb="0" eb="4">
      <t>ゲンジョウイジ</t>
    </rPh>
    <phoneticPr fontId="6"/>
  </si>
  <si>
    <t>★6/12 リセラー変更</t>
    <rPh sb="10" eb="12">
      <t>ヘンコウ</t>
    </rPh>
    <phoneticPr fontId="6"/>
  </si>
  <si>
    <t>Copilot Studio</t>
    <phoneticPr fontId="6"/>
  </si>
  <si>
    <t>リコーで継続した場合</t>
    <rPh sb="4" eb="6">
      <t>ケイゾク</t>
    </rPh>
    <rPh sb="8" eb="10">
      <t>バアイ</t>
    </rPh>
    <phoneticPr fontId="6"/>
  </si>
  <si>
    <t>年間約2万円プラス</t>
    <rPh sb="0" eb="2">
      <t>ネンカン</t>
    </rPh>
    <rPh sb="2" eb="3">
      <t>ヤク</t>
    </rPh>
    <rPh sb="4" eb="6">
      <t>マンエン</t>
    </rPh>
    <phoneticPr fontId="6"/>
  </si>
  <si>
    <t>～2026年7月</t>
    <rPh sb="5" eb="6">
      <t>ネン</t>
    </rPh>
    <rPh sb="7" eb="8">
      <t>ガツ</t>
    </rPh>
    <phoneticPr fontId="6"/>
  </si>
  <si>
    <t>VisioPlan1</t>
    <phoneticPr fontId="6"/>
  </si>
  <si>
    <t>MS-Project</t>
    <phoneticPr fontId="6"/>
  </si>
  <si>
    <t>予算時</t>
    <rPh sb="0" eb="3">
      <t>ヨサンジ</t>
    </rPh>
    <phoneticPr fontId="6"/>
  </si>
  <si>
    <t>P1単価</t>
    <rPh sb="2" eb="4">
      <t>タンカ</t>
    </rPh>
    <phoneticPr fontId="6"/>
  </si>
  <si>
    <t>予算時小計</t>
    <rPh sb="0" eb="3">
      <t>ヨサンジ</t>
    </rPh>
    <rPh sb="3" eb="5">
      <t>ショウケイ</t>
    </rPh>
    <phoneticPr fontId="6"/>
  </si>
  <si>
    <t>予算合計</t>
    <rPh sb="0" eb="2">
      <t>ヨサン</t>
    </rPh>
    <rPh sb="2" eb="4">
      <t>ゴウケイ</t>
    </rPh>
    <phoneticPr fontId="6"/>
  </si>
  <si>
    <t>P1実績小計</t>
    <rPh sb="2" eb="4">
      <t>ジッセキ</t>
    </rPh>
    <rPh sb="4" eb="6">
      <t>ショウケイ</t>
    </rPh>
    <phoneticPr fontId="6"/>
  </si>
  <si>
    <t>実績合計</t>
    <rPh sb="0" eb="2">
      <t>ジッセキ</t>
    </rPh>
    <rPh sb="2" eb="4">
      <t>ゴウケイ</t>
    </rPh>
    <phoneticPr fontId="6"/>
  </si>
  <si>
    <t>P5単価</t>
    <rPh sb="2" eb="4">
      <t>タンカ</t>
    </rPh>
    <phoneticPr fontId="6"/>
  </si>
  <si>
    <t>P5実績小計</t>
    <rPh sb="2" eb="4">
      <t>ジッセキ</t>
    </rPh>
    <rPh sb="4" eb="6">
      <t>ショウケイ</t>
    </rPh>
    <phoneticPr fontId="6"/>
  </si>
  <si>
    <t>予算P1＋P5合計</t>
    <rPh sb="0" eb="2">
      <t>ヨサン</t>
    </rPh>
    <rPh sb="7" eb="9">
      <t>ゴウケイ</t>
    </rPh>
    <phoneticPr fontId="6"/>
  </si>
  <si>
    <t>実績P1＋P5合計</t>
    <rPh sb="0" eb="2">
      <t>ジッセキ</t>
    </rPh>
    <rPh sb="7" eb="9">
      <t>ゴウケイ</t>
    </rPh>
    <phoneticPr fontId="6"/>
  </si>
  <si>
    <t>実績合計</t>
    <rPh sb="0" eb="4">
      <t>ジッセキゴウケイ</t>
    </rPh>
    <phoneticPr fontId="6"/>
  </si>
  <si>
    <t>P1</t>
    <phoneticPr fontId="6"/>
  </si>
  <si>
    <t>P5</t>
    <phoneticPr fontId="6"/>
  </si>
  <si>
    <t>※月契約月払</t>
    <rPh sb="1" eb="4">
      <t>ツキケイヤク</t>
    </rPh>
    <rPh sb="4" eb="6">
      <t>ツキバラ</t>
    </rPh>
    <phoneticPr fontId="6"/>
  </si>
  <si>
    <t>TeamsPremium※月契約月払</t>
    <rPh sb="13" eb="16">
      <t>ツキケイヤク</t>
    </rPh>
    <rPh sb="16" eb="18">
      <t>ツキバラ</t>
    </rPh>
    <phoneticPr fontId="6"/>
  </si>
  <si>
    <t>リコー※月契約</t>
    <rPh sb="4" eb="5">
      <t>ツキ</t>
    </rPh>
    <rPh sb="5" eb="7">
      <t>ケイヤク</t>
    </rPh>
    <phoneticPr fontId="6"/>
  </si>
  <si>
    <t>ソフトバンク※年契約</t>
    <rPh sb="7" eb="10">
      <t>ネンケイヤク</t>
    </rPh>
    <phoneticPr fontId="6"/>
  </si>
  <si>
    <t>当初の予算無し</t>
    <rPh sb="0" eb="2">
      <t>トウショ</t>
    </rPh>
    <rPh sb="3" eb="6">
      <t>ヨサンナ</t>
    </rPh>
    <phoneticPr fontId="6"/>
  </si>
  <si>
    <t>TeamsPremium</t>
    <phoneticPr fontId="6"/>
  </si>
  <si>
    <t>Ghostライセンス数</t>
    <rPh sb="10" eb="11">
      <t>スウ</t>
    </rPh>
    <phoneticPr fontId="6"/>
  </si>
  <si>
    <t>１YR</t>
    <phoneticPr fontId="6"/>
  </si>
  <si>
    <t>契約1</t>
    <rPh sb="0" eb="2">
      <t>ケイヤク</t>
    </rPh>
    <phoneticPr fontId="6"/>
  </si>
  <si>
    <t>契約2</t>
    <rPh sb="0" eb="2">
      <t>ケイヤク</t>
    </rPh>
    <phoneticPr fontId="6"/>
  </si>
  <si>
    <t>新規調達</t>
    <rPh sb="0" eb="4">
      <t>シンキチョウタツ</t>
    </rPh>
    <phoneticPr fontId="6"/>
  </si>
  <si>
    <t>既存契約</t>
    <rPh sb="0" eb="2">
      <t>キゾン</t>
    </rPh>
    <rPh sb="2" eb="4">
      <t>ケイヤク</t>
    </rPh>
    <phoneticPr fontId="6"/>
  </si>
  <si>
    <t>追加分</t>
    <rPh sb="0" eb="3">
      <t>ツイカブン</t>
    </rPh>
    <phoneticPr fontId="6"/>
  </si>
  <si>
    <t>追加分</t>
    <rPh sb="0" eb="2">
      <t>ツイカ</t>
    </rPh>
    <rPh sb="2" eb="3">
      <t>ブン</t>
    </rPh>
    <phoneticPr fontId="6"/>
  </si>
  <si>
    <t>１～49</t>
    <phoneticPr fontId="6"/>
  </si>
  <si>
    <t>50～99</t>
    <phoneticPr fontId="6"/>
  </si>
  <si>
    <t>100～249</t>
    <phoneticPr fontId="6"/>
  </si>
  <si>
    <t>ｼﾏﾝﾃｯｸGHOSTﾗｲｾﾝｽ</t>
    <phoneticPr fontId="6"/>
  </si>
  <si>
    <t>2026年予算-2025年予算</t>
    <rPh sb="4" eb="5">
      <t>ネン</t>
    </rPh>
    <rPh sb="5" eb="7">
      <t>ヨサン</t>
    </rPh>
    <rPh sb="12" eb="13">
      <t>ネン</t>
    </rPh>
    <rPh sb="13" eb="15">
      <t>ヨサン</t>
    </rPh>
    <phoneticPr fontId="6"/>
  </si>
  <si>
    <t>１月</t>
    <rPh sb="1" eb="2">
      <t>ガツ</t>
    </rPh>
    <phoneticPr fontId="6"/>
  </si>
  <si>
    <t>３月</t>
    <rPh sb="1" eb="2">
      <t>ガツ</t>
    </rPh>
    <phoneticPr fontId="6"/>
  </si>
  <si>
    <t>70ライセンス</t>
  </si>
  <si>
    <t>50ライセンス</t>
  </si>
  <si>
    <t>200ライセンス</t>
    <phoneticPr fontId="6"/>
  </si>
  <si>
    <t>D24-195</t>
  </si>
  <si>
    <t>D24-605</t>
    <phoneticPr fontId="6"/>
  </si>
  <si>
    <t>D24-730</t>
    <phoneticPr fontId="6"/>
  </si>
  <si>
    <t>2024/03/21～2025/03/20</t>
    <phoneticPr fontId="6"/>
  </si>
  <si>
    <t>標準単価</t>
    <rPh sb="0" eb="2">
      <t>ヒョウジュン</t>
    </rPh>
    <rPh sb="2" eb="4">
      <t>タンカ</t>
    </rPh>
    <phoneticPr fontId="6"/>
  </si>
  <si>
    <t>契約月数</t>
    <rPh sb="0" eb="2">
      <t>ケイヤク</t>
    </rPh>
    <rPh sb="2" eb="3">
      <t>ツキ</t>
    </rPh>
    <rPh sb="3" eb="4">
      <t>スウ</t>
    </rPh>
    <phoneticPr fontId="6"/>
  </si>
  <si>
    <t>ヶ月</t>
    <rPh sb="1" eb="2">
      <t>ゲツ</t>
    </rPh>
    <phoneticPr fontId="6"/>
  </si>
  <si>
    <t>250-499</t>
    <phoneticPr fontId="6"/>
  </si>
  <si>
    <t>円</t>
    <rPh sb="0" eb="1">
      <t>エン</t>
    </rPh>
    <phoneticPr fontId="6"/>
  </si>
  <si>
    <t>2024年予算</t>
    <rPh sb="4" eb="5">
      <t>ネン</t>
    </rPh>
    <rPh sb="5" eb="7">
      <t>ヨサン</t>
    </rPh>
    <phoneticPr fontId="6"/>
  </si>
  <si>
    <t>名刺管理ｻｰﾋﾞｽ21/2-24/1</t>
    <phoneticPr fontId="6"/>
  </si>
  <si>
    <t>予算化の数量</t>
    <rPh sb="0" eb="2">
      <t>ヨサン</t>
    </rPh>
    <rPh sb="2" eb="3">
      <t>カ</t>
    </rPh>
    <rPh sb="4" eb="6">
      <t>スウリョウ</t>
    </rPh>
    <phoneticPr fontId="6"/>
  </si>
  <si>
    <t>既存数量</t>
    <rPh sb="0" eb="4">
      <t>キゾンスウリョウ</t>
    </rPh>
    <phoneticPr fontId="6"/>
  </si>
  <si>
    <t>InterSafe CATS 400-999ユーザ/1年間</t>
    <phoneticPr fontId="6"/>
  </si>
  <si>
    <t>2023/9/1～2024/8/31</t>
    <phoneticPr fontId="6"/>
  </si>
  <si>
    <t>2024年予算(月額)</t>
    <rPh sb="4" eb="7">
      <t>ネンヨサン</t>
    </rPh>
    <rPh sb="8" eb="10">
      <t>ゲツガク</t>
    </rPh>
    <phoneticPr fontId="6"/>
  </si>
  <si>
    <t>2025年度予算（月額）</t>
    <rPh sb="4" eb="6">
      <t>ネンド</t>
    </rPh>
    <rPh sb="6" eb="8">
      <t>ヨサン</t>
    </rPh>
    <rPh sb="9" eb="11">
      <t>ゲツガク</t>
    </rPh>
    <phoneticPr fontId="6"/>
  </si>
  <si>
    <t>Webﾌｨﾙﾀﾘﾝｸﾞｿﾌﾄ23/9-24/8</t>
    <phoneticPr fontId="6"/>
  </si>
  <si>
    <t>2026年予算-2026年予算</t>
    <rPh sb="4" eb="7">
      <t>ネンヨサン</t>
    </rPh>
    <rPh sb="12" eb="13">
      <t>ネン</t>
    </rPh>
    <rPh sb="13" eb="15">
      <t>ヨサン</t>
    </rPh>
    <phoneticPr fontId="6"/>
  </si>
  <si>
    <t>2026年予算-2026年実績</t>
    <rPh sb="4" eb="7">
      <t>ネンヨサン</t>
    </rPh>
    <rPh sb="12" eb="13">
      <t>ネン</t>
    </rPh>
    <rPh sb="13" eb="15">
      <t>ジッセキ</t>
    </rPh>
    <phoneticPr fontId="6"/>
  </si>
  <si>
    <t>D23-422</t>
  </si>
  <si>
    <t>更新月までの12ヶ月</t>
    <rPh sb="0" eb="3">
      <t>コウシンツキ</t>
    </rPh>
    <rPh sb="9" eb="10">
      <t>ゲツ</t>
    </rPh>
    <phoneticPr fontId="6"/>
  </si>
  <si>
    <t>D23-768</t>
  </si>
  <si>
    <t>更新月までの10ケ月</t>
    <rPh sb="0" eb="3">
      <t>コウシンツキ</t>
    </rPh>
    <rPh sb="9" eb="10">
      <t>ゲツ</t>
    </rPh>
    <phoneticPr fontId="6"/>
  </si>
  <si>
    <t>ライセンス追加</t>
    <rPh sb="5" eb="7">
      <t>ツイカ</t>
    </rPh>
    <phoneticPr fontId="6"/>
  </si>
  <si>
    <t>D24-132</t>
  </si>
  <si>
    <t>更新月までの6ヶ月</t>
  </si>
  <si>
    <t>全社</t>
    <rPh sb="0" eb="2">
      <t>ゼンシャ</t>
    </rPh>
    <phoneticPr fontId="6"/>
  </si>
  <si>
    <t>MA部門</t>
    <rPh sb="2" eb="4">
      <t>ブモン</t>
    </rPh>
    <phoneticPr fontId="6"/>
  </si>
  <si>
    <t>全社分追加</t>
    <rPh sb="0" eb="2">
      <t>ゼンシャ</t>
    </rPh>
    <rPh sb="2" eb="5">
      <t>ブンツイカ</t>
    </rPh>
    <phoneticPr fontId="6"/>
  </si>
  <si>
    <t>2025年ライセンス数</t>
    <rPh sb="4" eb="5">
      <t>ネン</t>
    </rPh>
    <rPh sb="10" eb="11">
      <t>スウ</t>
    </rPh>
    <phoneticPr fontId="6"/>
  </si>
  <si>
    <t>2026年ライセンス数</t>
    <rPh sb="4" eb="5">
      <t>ネン</t>
    </rPh>
    <rPh sb="10" eb="11">
      <t>スウ</t>
    </rPh>
    <phoneticPr fontId="6"/>
  </si>
  <si>
    <t>Enterprise Named Host 1 Year Prepa</t>
  </si>
  <si>
    <t>全社分</t>
    <rPh sb="0" eb="2">
      <t>ゼンシャ</t>
    </rPh>
    <rPh sb="2" eb="3">
      <t>ブン</t>
    </rPh>
    <phoneticPr fontId="6"/>
  </si>
  <si>
    <t>MA分</t>
    <rPh sb="2" eb="3">
      <t>ブン</t>
    </rPh>
    <phoneticPr fontId="6"/>
  </si>
  <si>
    <t>★更新月</t>
    <rPh sb="1" eb="4">
      <t>コウシンツキ</t>
    </rPh>
    <phoneticPr fontId="6"/>
  </si>
  <si>
    <t>Zoom利用料2022/7－2023/6（M&amp;A部門以外分）</t>
    <phoneticPr fontId="6"/>
  </si>
  <si>
    <t>Zoom利用料2022/7－2023/6（M&amp;A部門用）</t>
    <phoneticPr fontId="6"/>
  </si>
  <si>
    <t>2024年6月30日まで→</t>
  </si>
  <si>
    <t>2024年7月1日～2025年6月30日まで</t>
  </si>
  <si>
    <t>日商ｴﾚｸﾄﾛﾆｸｽ㈱</t>
  </si>
  <si>
    <t>Zoom利用料2022/7－2023/6（M&amp;A部門以外分）</t>
  </si>
  <si>
    <t>Zoom利用料2022/7－2023/6（M&amp;A部門用）</t>
  </si>
  <si>
    <t>Think-Cell</t>
    <phoneticPr fontId="6"/>
  </si>
  <si>
    <t>で予算化</t>
    <rPh sb="1" eb="4">
      <t>ヨサンカ</t>
    </rPh>
    <phoneticPr fontId="6"/>
  </si>
  <si>
    <t>案１　既存ユーザ含めて支給対象者以外は一律削除</t>
    <rPh sb="0" eb="1">
      <t>アン</t>
    </rPh>
    <rPh sb="3" eb="5">
      <t>キゾン</t>
    </rPh>
    <rPh sb="8" eb="9">
      <t>フク</t>
    </rPh>
    <rPh sb="11" eb="13">
      <t>シキュウ</t>
    </rPh>
    <rPh sb="13" eb="15">
      <t>タイショウ</t>
    </rPh>
    <rPh sb="15" eb="16">
      <t>シャ</t>
    </rPh>
    <rPh sb="16" eb="18">
      <t>イガイ</t>
    </rPh>
    <rPh sb="19" eb="21">
      <t>イチリツ</t>
    </rPh>
    <rPh sb="21" eb="23">
      <t>サクジョ</t>
    </rPh>
    <phoneticPr fontId="6"/>
  </si>
  <si>
    <t>案２　新規外注、管理部門削除</t>
    <rPh sb="0" eb="1">
      <t>アン</t>
    </rPh>
    <rPh sb="3" eb="5">
      <t>シンキ</t>
    </rPh>
    <rPh sb="5" eb="7">
      <t>ガイチュウ</t>
    </rPh>
    <rPh sb="8" eb="12">
      <t>カンリブモン</t>
    </rPh>
    <rPh sb="12" eb="14">
      <t>サクジョ</t>
    </rPh>
    <phoneticPr fontId="6"/>
  </si>
  <si>
    <t>前年同額で予算化</t>
    <rPh sb="0" eb="2">
      <t>ゼンネン</t>
    </rPh>
    <rPh sb="2" eb="4">
      <t>ドウガク</t>
    </rPh>
    <rPh sb="5" eb="8">
      <t>ヨサンカ</t>
    </rPh>
    <phoneticPr fontId="6"/>
  </si>
  <si>
    <t>2025年予算(月額)</t>
    <rPh sb="4" eb="7">
      <t>ネンヨサン</t>
    </rPh>
    <rPh sb="8" eb="10">
      <t>ゲツガク</t>
    </rPh>
    <phoneticPr fontId="6"/>
  </si>
  <si>
    <t>Think-cellｱﾌﾟﾘ2023/6-2024/5</t>
    <phoneticPr fontId="6"/>
  </si>
  <si>
    <t>2024年予算</t>
  </si>
  <si>
    <t>2024年実績(見込)</t>
  </si>
  <si>
    <t>既存ライセンス数</t>
    <rPh sb="0" eb="2">
      <t>キゾン</t>
    </rPh>
    <rPh sb="7" eb="8">
      <t>スウ</t>
    </rPh>
    <phoneticPr fontId="6"/>
  </si>
  <si>
    <t>追加ライセンス数</t>
    <rPh sb="0" eb="2">
      <t>ツイカ</t>
    </rPh>
    <rPh sb="7" eb="8">
      <t>スウ</t>
    </rPh>
    <phoneticPr fontId="6"/>
  </si>
  <si>
    <t>バッファ</t>
    <phoneticPr fontId="6"/>
  </si>
  <si>
    <t>金額</t>
    <rPh sb="0" eb="2">
      <t>キンガク</t>
    </rPh>
    <phoneticPr fontId="6"/>
  </si>
  <si>
    <t>FMI</t>
    <phoneticPr fontId="6"/>
  </si>
  <si>
    <t>FCI</t>
    <phoneticPr fontId="6"/>
  </si>
  <si>
    <t>TS利用ﾗｲｾﾝｽ</t>
    <phoneticPr fontId="6"/>
  </si>
  <si>
    <t>2025年予算</t>
    <rPh sb="4" eb="7">
      <t>ネンヨサン</t>
    </rPh>
    <phoneticPr fontId="6"/>
  </si>
  <si>
    <t>TS運用ｻﾎﾟｰﾄ費用（プレミアムサポート）</t>
    <phoneticPr fontId="6"/>
  </si>
  <si>
    <t>TS利用ﾗｲｾﾝｽ22/8-23/7</t>
    <phoneticPr fontId="6"/>
  </si>
  <si>
    <t>2026年予算-2025年実績</t>
    <rPh sb="13" eb="15">
      <t>ジッセキ</t>
    </rPh>
    <phoneticPr fontId="6"/>
  </si>
  <si>
    <t>ライセンス数追加費用</t>
    <rPh sb="5" eb="6">
      <t>スウ</t>
    </rPh>
    <rPh sb="6" eb="8">
      <t>ツイカ</t>
    </rPh>
    <rPh sb="8" eb="10">
      <t>ヒヨウ</t>
    </rPh>
    <phoneticPr fontId="6"/>
  </si>
  <si>
    <t>TS利用ﾗｲｾﾝｽ22/8-23/7 実績</t>
    <rPh sb="19" eb="21">
      <t>ジッセキ</t>
    </rPh>
    <phoneticPr fontId="6"/>
  </si>
  <si>
    <t>TS利用ﾗｲｾﾝｽ追加24/12/9-25/8/8実績</t>
    <rPh sb="2" eb="4">
      <t>リヨウ</t>
    </rPh>
    <rPh sb="9" eb="11">
      <t>ツイカ</t>
    </rPh>
    <rPh sb="25" eb="27">
      <t>ジッセキ</t>
    </rPh>
    <phoneticPr fontId="6"/>
  </si>
  <si>
    <t>TS運用ｻﾎﾟｰﾄ費用（プレミアムサポート）</t>
    <rPh sb="2" eb="4">
      <t>ウンヨウ</t>
    </rPh>
    <rPh sb="8" eb="10">
      <t>ヒヨウ</t>
    </rPh>
    <rPh sb="10" eb="11">
      <t>（</t>
    </rPh>
    <phoneticPr fontId="6"/>
  </si>
  <si>
    <t>D24-685</t>
    <phoneticPr fontId="6"/>
  </si>
  <si>
    <t>TeamSpirit年間ライセンス料</t>
    <rPh sb="10" eb="12">
      <t>ネンカン</t>
    </rPh>
    <rPh sb="17" eb="18">
      <t>リョウ</t>
    </rPh>
    <phoneticPr fontId="6"/>
  </si>
  <si>
    <t>プレミアムサポート</t>
    <phoneticPr fontId="6"/>
  </si>
  <si>
    <t>D24-691</t>
    <phoneticPr fontId="6"/>
  </si>
  <si>
    <t>2025/3/7確認</t>
  </si>
  <si>
    <t>CloudsSpice年間ライセンス料(2023/9/1～2024/8/31)</t>
    <rPh sb="11" eb="13">
      <t>ネンカン</t>
    </rPh>
    <rPh sb="18" eb="19">
      <t>リョウ</t>
    </rPh>
    <phoneticPr fontId="6"/>
  </si>
  <si>
    <t>★契約更新月でライセンス追加想定（+20）</t>
    <rPh sb="1" eb="3">
      <t>ケイヤク</t>
    </rPh>
    <rPh sb="3" eb="6">
      <t>コウシンツキ</t>
    </rPh>
    <rPh sb="12" eb="14">
      <t>ツイカ</t>
    </rPh>
    <rPh sb="14" eb="16">
      <t>ソウテイ</t>
    </rPh>
    <phoneticPr fontId="6"/>
  </si>
  <si>
    <t>勤怠ｱﾌﾟﾘｹｰｼｮﾝ</t>
    <phoneticPr fontId="6"/>
  </si>
  <si>
    <t>D365ライセンス最適化</t>
    <rPh sb="9" eb="12">
      <t>サイテキカ</t>
    </rPh>
    <phoneticPr fontId="6"/>
  </si>
  <si>
    <t>D365ライセンス費用最適化.pptx</t>
  </si>
  <si>
    <t>ライセンス費用</t>
    <rPh sb="5" eb="7">
      <t>ヒヨウ</t>
    </rPh>
    <phoneticPr fontId="6"/>
  </si>
  <si>
    <r>
      <t>Sales Enterprise Edition</t>
    </r>
    <r>
      <rPr>
        <sz val="11"/>
        <color theme="1"/>
        <rFont val="Tahoma"/>
        <family val="2"/>
        <charset val="1"/>
      </rPr>
      <t>‎</t>
    </r>
    <r>
      <rPr>
        <sz val="11"/>
        <color theme="1"/>
        <rFont val="游ゴシック"/>
        <family val="2"/>
        <scheme val="minor"/>
      </rPr>
      <t xml:space="preserve"> </t>
    </r>
    <phoneticPr fontId="6"/>
  </si>
  <si>
    <t>Sales Professional</t>
    <phoneticPr fontId="6"/>
  </si>
  <si>
    <r>
      <t>Team Members</t>
    </r>
    <r>
      <rPr>
        <sz val="11"/>
        <color theme="1"/>
        <rFont val="Tahoma"/>
        <family val="2"/>
        <charset val="1"/>
      </rPr>
      <t>‎</t>
    </r>
    <phoneticPr fontId="6"/>
  </si>
  <si>
    <t>SDUP</t>
    <phoneticPr fontId="6"/>
  </si>
  <si>
    <t>年間10人プラス</t>
    <rPh sb="0" eb="2">
      <t>ネンカン</t>
    </rPh>
    <rPh sb="4" eb="5">
      <t>ニン</t>
    </rPh>
    <phoneticPr fontId="6"/>
  </si>
  <si>
    <t>バックオフィス</t>
    <phoneticPr fontId="6"/>
  </si>
  <si>
    <t>期限（終期）</t>
  </si>
  <si>
    <t>2024年予算作成時</t>
    <rPh sb="4" eb="5">
      <t>ネン</t>
    </rPh>
    <rPh sb="5" eb="10">
      <t>ヨサンサクセイジ</t>
    </rPh>
    <phoneticPr fontId="6"/>
  </si>
  <si>
    <t>2023/12/15 SCSKからライセンス金額提示後</t>
    <rPh sb="22" eb="24">
      <t>キンガク</t>
    </rPh>
    <rPh sb="24" eb="26">
      <t>テイジ</t>
    </rPh>
    <rPh sb="26" eb="27">
      <t>ゴ</t>
    </rPh>
    <phoneticPr fontId="6"/>
  </si>
  <si>
    <t>-</t>
    <phoneticPr fontId="6"/>
  </si>
  <si>
    <t>※Sales Enterprise Editionの利用は不要な為、Sales Professionalへ統一</t>
    <phoneticPr fontId="6"/>
  </si>
  <si>
    <t>SD以上 D365 Pro 単価9148円x61→65、その他ライセンス 単価1124円x375→400
Log容量 単価280円x24、DB容量 単価5623円x13、ファイル容量 単価1405円x13</t>
    <phoneticPr fontId="6"/>
  </si>
  <si>
    <r>
      <rPr>
        <sz val="11"/>
        <color rgb="FF000000"/>
        <rFont val="游ゴシック"/>
        <family val="3"/>
        <charset val="128"/>
        <scheme val="minor"/>
      </rPr>
      <t>Team Members</t>
    </r>
    <r>
      <rPr>
        <sz val="11"/>
        <color rgb="FF000000"/>
        <rFont val="Tahoma"/>
        <family val="2"/>
      </rPr>
      <t>‎１</t>
    </r>
  </si>
  <si>
    <t>→8月から値上り</t>
  </si>
  <si>
    <r>
      <rPr>
        <sz val="11"/>
        <color rgb="FF000000"/>
        <rFont val="游ゴシック"/>
        <family val="3"/>
        <charset val="128"/>
        <scheme val="minor"/>
      </rPr>
      <t>Team Members</t>
    </r>
    <r>
      <rPr>
        <sz val="11"/>
        <color rgb="FF000000"/>
        <rFont val="Tahoma"/>
        <family val="2"/>
      </rPr>
      <t>‎２</t>
    </r>
  </si>
  <si>
    <t>月額</t>
    <rPh sb="0" eb="2">
      <t>ガツガク</t>
    </rPh>
    <phoneticPr fontId="6"/>
  </si>
  <si>
    <r>
      <rPr>
        <sz val="11"/>
        <color theme="1"/>
        <rFont val="ＭＳ 明朝"/>
        <family val="1"/>
        <charset val="128"/>
      </rPr>
      <t>‎</t>
    </r>
    <r>
      <rPr>
        <sz val="11"/>
        <color theme="1"/>
        <rFont val="游ゴシック"/>
        <family val="3"/>
        <charset val="128"/>
        <scheme val="minor"/>
      </rPr>
      <t>Dataverse Database Capacity add-on</t>
    </r>
    <r>
      <rPr>
        <sz val="11"/>
        <color theme="1"/>
        <rFont val="ＭＳ 明朝"/>
        <family val="1"/>
        <charset val="128"/>
      </rPr>
      <t>‎</t>
    </r>
    <r>
      <rPr>
        <sz val="11"/>
        <color theme="1"/>
        <rFont val="游ゴシック"/>
        <family val="3"/>
        <charset val="128"/>
        <scheme val="minor"/>
      </rPr>
      <t> </t>
    </r>
    <r>
      <rPr>
        <sz val="11"/>
        <color theme="1"/>
        <rFont val="Calibri"/>
        <family val="1"/>
      </rPr>
      <t>P1Y</t>
    </r>
    <phoneticPr fontId="6"/>
  </si>
  <si>
    <t>→８月から値上り</t>
  </si>
  <si>
    <r>
      <rPr>
        <sz val="11"/>
        <color theme="1"/>
        <rFont val="ＭＳ 明朝"/>
        <family val="1"/>
        <charset val="128"/>
      </rPr>
      <t>‎</t>
    </r>
    <r>
      <rPr>
        <sz val="11"/>
        <color theme="1"/>
        <rFont val="游ゴシック"/>
        <family val="3"/>
        <charset val="128"/>
        <scheme val="minor"/>
      </rPr>
      <t>Dataverse Database Capacity add-on</t>
    </r>
    <r>
      <rPr>
        <sz val="11"/>
        <color theme="1"/>
        <rFont val="ＭＳ 明朝"/>
        <family val="1"/>
        <charset val="128"/>
      </rPr>
      <t>‎</t>
    </r>
    <r>
      <rPr>
        <sz val="11"/>
        <color theme="1"/>
        <rFont val="游ゴシック"/>
        <family val="3"/>
        <charset val="128"/>
        <scheme val="minor"/>
      </rPr>
      <t> </t>
    </r>
    <r>
      <rPr>
        <sz val="11"/>
        <color theme="1"/>
        <rFont val="Calibri"/>
        <family val="1"/>
      </rPr>
      <t>P1M</t>
    </r>
    <phoneticPr fontId="6"/>
  </si>
  <si>
    <r>
      <t>Dataverse File Capacity add-on</t>
    </r>
    <r>
      <rPr>
        <sz val="11"/>
        <color theme="1"/>
        <rFont val="Courier New"/>
        <family val="3"/>
        <charset val="1"/>
      </rPr>
      <t>‎</t>
    </r>
    <r>
      <rPr>
        <sz val="11"/>
        <color theme="1"/>
        <rFont val="游ゴシック"/>
        <family val="2"/>
        <scheme val="minor"/>
      </rPr>
      <t xml:space="preserve"> P1Y</t>
    </r>
    <phoneticPr fontId="6"/>
  </si>
  <si>
    <t>→5月から</t>
  </si>
  <si>
    <r>
      <t>Dataverse Log Capacity add-on</t>
    </r>
    <r>
      <rPr>
        <sz val="11"/>
        <color theme="1"/>
        <rFont val="Tahoma"/>
        <family val="2"/>
        <charset val="1"/>
      </rPr>
      <t>‎</t>
    </r>
    <r>
      <rPr>
        <sz val="11"/>
        <color theme="1"/>
        <rFont val="游ゴシック"/>
        <family val="2"/>
        <scheme val="minor"/>
      </rPr>
      <t xml:space="preserve"> P1Y</t>
    </r>
    <phoneticPr fontId="6"/>
  </si>
  <si>
    <t>→6月から</t>
  </si>
  <si>
    <t xml:space="preserve">SD以上 D365 Pro 65ライセンスx9148円 </t>
    <rPh sb="2" eb="4">
      <t>イジョウ</t>
    </rPh>
    <rPh sb="26" eb="27">
      <t>エン</t>
    </rPh>
    <phoneticPr fontId="6"/>
  </si>
  <si>
    <t>品名</t>
    <rPh sb="0" eb="2">
      <t>ヒンメイ</t>
    </rPh>
    <phoneticPr fontId="6"/>
  </si>
  <si>
    <t>契約更新</t>
    <rPh sb="0" eb="2">
      <t>ケイヤク</t>
    </rPh>
    <rPh sb="2" eb="4">
      <t>コウシン</t>
    </rPh>
    <phoneticPr fontId="6"/>
  </si>
  <si>
    <t>予算金額</t>
    <rPh sb="0" eb="2">
      <t>ヨサン</t>
    </rPh>
    <rPh sb="2" eb="4">
      <t>キンガク</t>
    </rPh>
    <phoneticPr fontId="6"/>
  </si>
  <si>
    <t>①＋②の合計</t>
    <rPh sb="4" eb="6">
      <t>ゴウケイ</t>
    </rPh>
    <phoneticPr fontId="6"/>
  </si>
  <si>
    <t>ライセンス実数</t>
    <rPh sb="5" eb="7">
      <t>ジッスウ</t>
    </rPh>
    <phoneticPr fontId="6"/>
  </si>
  <si>
    <t>実数予算</t>
    <rPh sb="0" eb="2">
      <t>ジッスウ</t>
    </rPh>
    <rPh sb="2" eb="4">
      <t>ヨサン</t>
    </rPh>
    <phoneticPr fontId="6"/>
  </si>
  <si>
    <t>ライセンス予算数</t>
    <rPh sb="5" eb="7">
      <t>ヨサン</t>
    </rPh>
    <rPh sb="7" eb="8">
      <t>スウ</t>
    </rPh>
    <phoneticPr fontId="6"/>
  </si>
  <si>
    <t>予算数予算</t>
    <rPh sb="0" eb="3">
      <t>ヨサンスウ</t>
    </rPh>
    <rPh sb="3" eb="5">
      <t>ヨサン</t>
    </rPh>
    <phoneticPr fontId="6"/>
  </si>
  <si>
    <t>ライセンス数実数</t>
    <rPh sb="5" eb="6">
      <t>スウ</t>
    </rPh>
    <rPh sb="6" eb="8">
      <t>ジッスウ</t>
    </rPh>
    <phoneticPr fontId="6"/>
  </si>
  <si>
    <t>予算数</t>
    <rPh sb="0" eb="2">
      <t>ヨサン</t>
    </rPh>
    <rPh sb="2" eb="3">
      <t>スウ</t>
    </rPh>
    <phoneticPr fontId="6"/>
  </si>
  <si>
    <t>①ユーザライセンス費用月額小計</t>
    <rPh sb="9" eb="11">
      <t>ヒヨウ</t>
    </rPh>
    <rPh sb="11" eb="13">
      <t>ゲツガク</t>
    </rPh>
    <rPh sb="13" eb="15">
      <t>ショウケイ</t>
    </rPh>
    <phoneticPr fontId="6"/>
  </si>
  <si>
    <t>②データベース費用月額小計</t>
    <rPh sb="7" eb="9">
      <t>ヒヨウ</t>
    </rPh>
    <rPh sb="9" eb="11">
      <t>ゲツガク</t>
    </rPh>
    <rPh sb="11" eb="13">
      <t>ショウケイ</t>
    </rPh>
    <phoneticPr fontId="6"/>
  </si>
  <si>
    <t>確定</t>
    <rPh sb="0" eb="2">
      <t>カクテイ</t>
    </rPh>
    <phoneticPr fontId="6"/>
  </si>
  <si>
    <t>202５年度</t>
    <rPh sb="4" eb="6">
      <t>ネンド</t>
    </rPh>
    <phoneticPr fontId="6"/>
  </si>
  <si>
    <t>　ライセンス</t>
    <phoneticPr fontId="6"/>
  </si>
  <si>
    <t>　</t>
    <phoneticPr fontId="6"/>
  </si>
  <si>
    <t>　Dataverse</t>
    <phoneticPr fontId="6"/>
  </si>
  <si>
    <t>Dynamics365保守</t>
    <rPh sb="11" eb="13">
      <t>ホシュ</t>
    </rPh>
    <phoneticPr fontId="6"/>
  </si>
  <si>
    <t>2025年予算</t>
    <rPh sb="4" eb="5">
      <t>ネン</t>
    </rPh>
    <rPh sb="5" eb="7">
      <t>ヨサン</t>
    </rPh>
    <phoneticPr fontId="6"/>
  </si>
  <si>
    <t>Dynamic365保守料</t>
  </si>
  <si>
    <t>ｳﾁﾀﾞｴｽｺ㈱　PC機器廃棄費用</t>
    <phoneticPr fontId="6"/>
  </si>
  <si>
    <t>Azure運用監視サービス（ID）</t>
    <rPh sb="5" eb="7">
      <t>ウンヨウ</t>
    </rPh>
    <rPh sb="7" eb="9">
      <t>カンシ</t>
    </rPh>
    <phoneticPr fontId="6"/>
  </si>
  <si>
    <t>asmana利用料</t>
    <rPh sb="6" eb="9">
      <t>リヨウリョウ</t>
    </rPh>
    <phoneticPr fontId="6"/>
  </si>
  <si>
    <t>2025年度6月～12月（一部予測あり）の実績</t>
    <rPh sb="4" eb="6">
      <t>ネンド</t>
    </rPh>
    <rPh sb="7" eb="8">
      <t>ガツ</t>
    </rPh>
    <rPh sb="11" eb="12">
      <t>ガツ</t>
    </rPh>
    <rPh sb="13" eb="15">
      <t>イチブ</t>
    </rPh>
    <rPh sb="15" eb="17">
      <t>ヨソク</t>
    </rPh>
    <rPh sb="21" eb="23">
      <t>ジッセキ</t>
    </rPh>
    <phoneticPr fontId="6"/>
  </si>
  <si>
    <t>約120万</t>
    <rPh sb="0" eb="1">
      <t>ヤク</t>
    </rPh>
    <rPh sb="4" eb="5">
      <t>マン</t>
    </rPh>
    <phoneticPr fontId="6"/>
  </si>
  <si>
    <t>のため、2026年度240万の予測は妥当の認識</t>
    <rPh sb="8" eb="10">
      <t>ネンド</t>
    </rPh>
    <rPh sb="13" eb="14">
      <t>マン</t>
    </rPh>
    <rPh sb="15" eb="17">
      <t>ヨソク</t>
    </rPh>
    <rPh sb="18" eb="20">
      <t>ダトウ</t>
    </rPh>
    <rPh sb="21" eb="23">
      <t>ニンシキ</t>
    </rPh>
    <phoneticPr fontId="6"/>
  </si>
  <si>
    <t>★D365本格稼働を想定</t>
    <rPh sb="5" eb="7">
      <t>ホンカク</t>
    </rPh>
    <rPh sb="7" eb="9">
      <t>カドウ</t>
    </rPh>
    <rPh sb="10" eb="12">
      <t>ソウテイ</t>
    </rPh>
    <phoneticPr fontId="6"/>
  </si>
  <si>
    <t>★4月一斉入社を想定</t>
    <rPh sb="2" eb="3">
      <t>ガツ</t>
    </rPh>
    <rPh sb="3" eb="5">
      <t>イッセイ</t>
    </rPh>
    <rPh sb="5" eb="7">
      <t>ニュウシャ</t>
    </rPh>
    <rPh sb="8" eb="10">
      <t>ソウテイ</t>
    </rPh>
    <phoneticPr fontId="6"/>
  </si>
  <si>
    <t>㈱RIT　ｱｻｲﾝ管理ﾂｰﾙﾗｲｾﾝｽ費用</t>
  </si>
  <si>
    <t>※予算無し</t>
    <rPh sb="1" eb="3">
      <t>ヨサン</t>
    </rPh>
    <rPh sb="3" eb="4">
      <t>ナ</t>
    </rPh>
    <phoneticPr fontId="6"/>
  </si>
  <si>
    <t>2025年も継続、同額(回線番号：D-623570006)</t>
    <phoneticPr fontId="6"/>
  </si>
  <si>
    <t>SmartVPN(Azure)</t>
    <phoneticPr fontId="6"/>
  </si>
  <si>
    <t>2025年も継続、同額(回線番号：D-623570008)</t>
    <phoneticPr fontId="6"/>
  </si>
  <si>
    <t>SmartVPN(大阪)</t>
    <rPh sb="9" eb="11">
      <t>オオサカ</t>
    </rPh>
    <phoneticPr fontId="6"/>
  </si>
  <si>
    <t>2025年も継続、同額(回線番号：D-623570007)</t>
    <phoneticPr fontId="6"/>
  </si>
  <si>
    <t>SmartVPN(本社)</t>
    <rPh sb="9" eb="11">
      <t>ホンシャ</t>
    </rPh>
    <phoneticPr fontId="6"/>
  </si>
  <si>
    <t>2025年も継続、同額(回線番号：D-623580002)</t>
    <phoneticPr fontId="6"/>
  </si>
  <si>
    <t>ConnecTalk接続料</t>
    <phoneticPr fontId="6"/>
  </si>
  <si>
    <t>2025年も継続、月額448,500円（回線番号：F020430703）</t>
    <phoneticPr fontId="6"/>
  </si>
  <si>
    <t>★価格改定</t>
    <rPh sb="1" eb="3">
      <t>カカク</t>
    </rPh>
    <rPh sb="3" eb="5">
      <t>カイテイ</t>
    </rPh>
    <phoneticPr fontId="6"/>
  </si>
  <si>
    <t>SRA2利用料</t>
    <phoneticPr fontId="6"/>
  </si>
  <si>
    <t>\\frontier-mgmt.local\share\b_経営管理部\【経理へ】請求書等共有\【02】支払申請済（請求書）\ソフトバンク株式会社（インターネット回線利用料№T9130298988）マネージドGW</t>
  </si>
  <si>
    <t>インターネット回線利用料（WCGWｾｷｭｱｱｸｾｽ3科、機器利用料、GW利用料、モジュール月額利用料）</t>
    <phoneticPr fontId="6"/>
  </si>
  <si>
    <t>2026年4月以降</t>
    <rPh sb="4" eb="5">
      <t>ネン</t>
    </rPh>
    <rPh sb="6" eb="7">
      <t>ガツ</t>
    </rPh>
    <rPh sb="7" eb="9">
      <t>イコウ</t>
    </rPh>
    <phoneticPr fontId="6"/>
  </si>
  <si>
    <t>対象明細</t>
    <rPh sb="0" eb="2">
      <t>タイショウ</t>
    </rPh>
    <rPh sb="2" eb="4">
      <t>メイサイ</t>
    </rPh>
    <phoneticPr fontId="6"/>
  </si>
  <si>
    <t>回線番号</t>
    <rPh sb="0" eb="4">
      <t>カイセンバンゴウ</t>
    </rPh>
    <phoneticPr fontId="6"/>
  </si>
  <si>
    <t>備考</t>
    <rPh sb="0" eb="2">
      <t>ビコウ</t>
    </rPh>
    <phoneticPr fontId="6"/>
  </si>
  <si>
    <t>WCGWｾｷｭｱｱｸｾｽ3科</t>
    <phoneticPr fontId="6"/>
  </si>
  <si>
    <t>F-020561506</t>
    <phoneticPr fontId="6"/>
  </si>
  <si>
    <t>FMI→internet回線</t>
    <rPh sb="12" eb="14">
      <t>カイセン</t>
    </rPh>
    <phoneticPr fontId="6"/>
  </si>
  <si>
    <t>機器利用料</t>
    <phoneticPr fontId="6"/>
  </si>
  <si>
    <t>F-020436257</t>
    <phoneticPr fontId="6"/>
  </si>
  <si>
    <t>F-020492454</t>
    <phoneticPr fontId="6"/>
  </si>
  <si>
    <t>GW利用料</t>
    <phoneticPr fontId="6"/>
  </si>
  <si>
    <t>F-020439766</t>
    <phoneticPr fontId="6"/>
  </si>
  <si>
    <t>F-020439767</t>
    <phoneticPr fontId="6"/>
  </si>
  <si>
    <t>F-020439768</t>
    <phoneticPr fontId="6"/>
  </si>
  <si>
    <t>モジュール月額利用料</t>
    <phoneticPr fontId="6"/>
  </si>
  <si>
    <t>F-020500386</t>
    <phoneticPr fontId="6"/>
  </si>
  <si>
    <t>機器利用料</t>
    <rPh sb="0" eb="5">
      <t>キキリヨウリョウ</t>
    </rPh>
    <phoneticPr fontId="10"/>
  </si>
  <si>
    <t>GW利用料</t>
    <rPh sb="2" eb="4">
      <t>リヨウ</t>
    </rPh>
    <rPh sb="4" eb="5">
      <t>リョウ</t>
    </rPh>
    <phoneticPr fontId="10"/>
  </si>
  <si>
    <t>モジュール月額利用料</t>
    <rPh sb="5" eb="10">
      <t>ゲツガクリヨウリョウ</t>
    </rPh>
    <phoneticPr fontId="10"/>
  </si>
  <si>
    <t>ライセンス種別</t>
  </si>
  <si>
    <t>ライセンス購入数合計</t>
  </si>
  <si>
    <t>残ライセンス数</t>
  </si>
  <si>
    <t>クライアントライセンス</t>
  </si>
  <si>
    <t>2400枚</t>
  </si>
  <si>
    <t>91枚</t>
  </si>
  <si>
    <t>サーバネットワーク機器用ライセンス</t>
  </si>
  <si>
    <t>0枚</t>
  </si>
  <si>
    <t>期限切れ予定一覧</t>
    <rPh sb="0" eb="3">
      <t>キゲンギ</t>
    </rPh>
    <rPh sb="4" eb="6">
      <t>ヨテイ</t>
    </rPh>
    <rPh sb="6" eb="8">
      <t>イチラン</t>
    </rPh>
    <phoneticPr fontId="6"/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</si>
  <si>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</si>
  <si>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</si>
  <si>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</si>
  <si>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</si>
  <si>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</si>
  <si>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</si>
  <si>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</si>
  <si>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</si>
  <si>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2026年7月</t>
  </si>
  <si>
    <t>2026年8月</t>
  </si>
  <si>
    <t>2026年9月</t>
  </si>
  <si>
    <t>2026年10月</t>
  </si>
  <si>
    <t>2026年予算</t>
    <rPh sb="4" eb="5">
      <t>ネン</t>
    </rPh>
    <rPh sb="5" eb="7">
      <t>ヨサン</t>
    </rPh>
    <phoneticPr fontId="6"/>
  </si>
  <si>
    <t>期限切れ枚数</t>
    <rPh sb="0" eb="3">
      <t>キゲンギ</t>
    </rPh>
    <rPh sb="4" eb="6">
      <t>マイスウ</t>
    </rPh>
    <phoneticPr fontId="6"/>
  </si>
  <si>
    <t>期限切れ枚数累積</t>
    <rPh sb="0" eb="3">
      <t>キゲンギ</t>
    </rPh>
    <rPh sb="4" eb="6">
      <t>マイスウ</t>
    </rPh>
    <rPh sb="6" eb="8">
      <t>ルイセキ</t>
    </rPh>
    <phoneticPr fontId="6"/>
  </si>
  <si>
    <t>2025年実績より5万ほどUp</t>
    <rPh sb="4" eb="5">
      <t>ネン</t>
    </rPh>
    <rPh sb="5" eb="7">
      <t>ジッセキ</t>
    </rPh>
    <rPh sb="10" eb="11">
      <t>マン</t>
    </rPh>
    <phoneticPr fontId="6"/>
  </si>
  <si>
    <t>残91ライセンス使い切る→</t>
    <rPh sb="0" eb="1">
      <t>ザン</t>
    </rPh>
    <rPh sb="8" eb="9">
      <t>ツカ</t>
    </rPh>
    <rPh sb="10" eb="11">
      <t>キ</t>
    </rPh>
    <phoneticPr fontId="6"/>
  </si>
  <si>
    <t>残400ライセンス使い切る→</t>
    <rPh sb="0" eb="1">
      <t>ザン</t>
    </rPh>
    <rPh sb="9" eb="10">
      <t>ツカ</t>
    </rPh>
    <rPh sb="11" eb="12">
      <t>キ</t>
    </rPh>
    <phoneticPr fontId="6"/>
  </si>
  <si>
    <t>追加購入計画</t>
    <rPh sb="0" eb="4">
      <t>ツイカコウニュウ</t>
    </rPh>
    <rPh sb="4" eb="6">
      <t>ケイカク</t>
    </rPh>
    <phoneticPr fontId="6"/>
  </si>
  <si>
    <t>Up理由</t>
    <rPh sb="2" eb="4">
      <t>リユウ</t>
    </rPh>
    <phoneticPr fontId="6"/>
  </si>
  <si>
    <t>リプレース追加分</t>
    <rPh sb="5" eb="8">
      <t>ツイカブン</t>
    </rPh>
    <phoneticPr fontId="6"/>
  </si>
  <si>
    <t>利用料を実績ベースで反映した結果</t>
    <rPh sb="0" eb="3">
      <t>リヨウリョウ</t>
    </rPh>
    <rPh sb="4" eb="6">
      <t>ジッセキ</t>
    </rPh>
    <rPh sb="10" eb="12">
      <t>ハンエイ</t>
    </rPh>
    <rPh sb="14" eb="16">
      <t>ケッカ</t>
    </rPh>
    <phoneticPr fontId="6"/>
  </si>
  <si>
    <t>発行料金</t>
    <rPh sb="0" eb="4">
      <t>ハッコウリョウキン</t>
    </rPh>
    <phoneticPr fontId="6"/>
  </si>
  <si>
    <t>\310/1枚</t>
    <rPh sb="6" eb="7">
      <t>マイ</t>
    </rPh>
    <phoneticPr fontId="6"/>
  </si>
  <si>
    <t>202６年予算</t>
    <rPh sb="4" eb="5">
      <t>ネン</t>
    </rPh>
    <rPh sb="5" eb="7">
      <t>ヨサン</t>
    </rPh>
    <phoneticPr fontId="6"/>
  </si>
  <si>
    <t>★</t>
    <phoneticPr fontId="6"/>
  </si>
  <si>
    <t>PKI証明書発行費</t>
  </si>
  <si>
    <t>ソフトバンク株式会社</t>
  </si>
  <si>
    <t>利用料金</t>
    <rPh sb="0" eb="4">
      <t>リヨウリョウキン</t>
    </rPh>
    <phoneticPr fontId="6"/>
  </si>
  <si>
    <t>追加発行料金</t>
    <rPh sb="0" eb="2">
      <t>ツイカ</t>
    </rPh>
    <rPh sb="2" eb="4">
      <t>ハッコウ</t>
    </rPh>
    <rPh sb="4" eb="6">
      <t>リョウキン</t>
    </rPh>
    <phoneticPr fontId="6"/>
  </si>
  <si>
    <t>202５年予算</t>
    <rPh sb="4" eb="5">
      <t>ネン</t>
    </rPh>
    <rPh sb="5" eb="7">
      <t>ヨサン</t>
    </rPh>
    <phoneticPr fontId="6"/>
  </si>
  <si>
    <t>200枚</t>
    <rPh sb="3" eb="4">
      <t>マイ</t>
    </rPh>
    <phoneticPr fontId="6"/>
  </si>
  <si>
    <t>↑</t>
    <phoneticPr fontId="6"/>
  </si>
  <si>
    <t>7月分は通信費用+証明書発行料金が発生したため、月の予算超過</t>
    <rPh sb="1" eb="3">
      <t>ガツブン</t>
    </rPh>
    <rPh sb="4" eb="8">
      <t>ツウシンヒヨウ</t>
    </rPh>
    <rPh sb="9" eb="12">
      <t>ショウメイショ</t>
    </rPh>
    <rPh sb="12" eb="14">
      <t>ハッコウ</t>
    </rPh>
    <rPh sb="14" eb="16">
      <t>リョウキン</t>
    </rPh>
    <rPh sb="17" eb="19">
      <t>ハッセイ</t>
    </rPh>
    <rPh sb="24" eb="25">
      <t>ツキ</t>
    </rPh>
    <rPh sb="26" eb="30">
      <t>ヨサンチョウカ</t>
    </rPh>
    <phoneticPr fontId="6"/>
  </si>
  <si>
    <t>お客様番号</t>
    <rPh sb="1" eb="3">
      <t>キャクサマ</t>
    </rPh>
    <rPh sb="3" eb="5">
      <t>バンゴウ</t>
    </rPh>
    <phoneticPr fontId="6"/>
  </si>
  <si>
    <t>T9130298988</t>
    <phoneticPr fontId="6"/>
  </si>
  <si>
    <t>請求書格納先</t>
    <rPh sb="0" eb="3">
      <t>セイキュウショ</t>
    </rPh>
    <rPh sb="3" eb="6">
      <t>カクノウサキ</t>
    </rPh>
    <phoneticPr fontId="6"/>
  </si>
  <si>
    <t>2023年新規レンタル契約実績</t>
    <rPh sb="4" eb="5">
      <t>ネン</t>
    </rPh>
    <rPh sb="5" eb="7">
      <t>シンキ</t>
    </rPh>
    <rPh sb="11" eb="13">
      <t>ケイヤク</t>
    </rPh>
    <rPh sb="13" eb="15">
      <t>ジッセキ</t>
    </rPh>
    <phoneticPr fontId="6"/>
  </si>
  <si>
    <t>台</t>
    <rPh sb="0" eb="1">
      <t>ダイ</t>
    </rPh>
    <phoneticPr fontId="6"/>
  </si>
  <si>
    <t>2024年新規レンタル契約実績</t>
    <rPh sb="4" eb="5">
      <t>ネン</t>
    </rPh>
    <rPh sb="5" eb="7">
      <t>シンキ</t>
    </rPh>
    <rPh sb="11" eb="13">
      <t>ケイヤク</t>
    </rPh>
    <rPh sb="13" eb="15">
      <t>ジッセキ</t>
    </rPh>
    <phoneticPr fontId="6"/>
  </si>
  <si>
    <t>iPhone</t>
    <phoneticPr fontId="6"/>
  </si>
  <si>
    <t>2025年</t>
    <rPh sb="4" eb="5">
      <t>トシ</t>
    </rPh>
    <phoneticPr fontId="6"/>
  </si>
  <si>
    <t>機種</t>
    <rPh sb="0" eb="2">
      <t>キシュ</t>
    </rPh>
    <phoneticPr fontId="5"/>
  </si>
  <si>
    <t>データ通信量</t>
    <rPh sb="3" eb="6">
      <t>ツウシンリョウ</t>
    </rPh>
    <phoneticPr fontId="5"/>
  </si>
  <si>
    <t>月額(1台あたり)</t>
    <rPh sb="0" eb="2">
      <t>ゲツガク</t>
    </rPh>
    <rPh sb="4" eb="5">
      <t>ダイ</t>
    </rPh>
    <phoneticPr fontId="5"/>
  </si>
  <si>
    <t>保有台数</t>
    <rPh sb="0" eb="4">
      <t>ホユウダイスウ</t>
    </rPh>
    <phoneticPr fontId="6"/>
  </si>
  <si>
    <t>残</t>
    <rPh sb="0" eb="1">
      <t>ザン</t>
    </rPh>
    <phoneticPr fontId="6"/>
  </si>
  <si>
    <t>リプレース予定</t>
    <rPh sb="5" eb="7">
      <t>ヨテイ</t>
    </rPh>
    <phoneticPr fontId="6"/>
  </si>
  <si>
    <t>iPhone8</t>
  </si>
  <si>
    <t>50GB</t>
    <phoneticPr fontId="6"/>
  </si>
  <si>
    <t>〇</t>
    <phoneticPr fontId="6"/>
  </si>
  <si>
    <t>iPhoneSE2</t>
  </si>
  <si>
    <t>50GB</t>
  </si>
  <si>
    <t>iPhone12mini</t>
  </si>
  <si>
    <t>iPhone12</t>
  </si>
  <si>
    <t>iPhone13</t>
  </si>
  <si>
    <t>iPhone14</t>
  </si>
  <si>
    <t>iPhone1X</t>
    <phoneticPr fontId="6"/>
  </si>
  <si>
    <t>2024年合計台数</t>
    <rPh sb="4" eb="5">
      <t>ネン</t>
    </rPh>
    <rPh sb="5" eb="9">
      <t>ゴウケイダイスウ</t>
    </rPh>
    <phoneticPr fontId="6"/>
  </si>
  <si>
    <t>2025年合計台数</t>
    <rPh sb="4" eb="9">
      <t>ネンゴウケイダイスウ</t>
    </rPh>
    <phoneticPr fontId="6"/>
  </si>
  <si>
    <t>iPhone16</t>
    <phoneticPr fontId="6"/>
  </si>
  <si>
    <t>128GB</t>
    <phoneticPr fontId="6"/>
  </si>
  <si>
    <t>★契約変更</t>
    <rPh sb="1" eb="3">
      <t>ケイヤク</t>
    </rPh>
    <rPh sb="3" eb="5">
      <t>ヘンコウ</t>
    </rPh>
    <phoneticPr fontId="6"/>
  </si>
  <si>
    <t>iPhone利用料</t>
    <phoneticPr fontId="6"/>
  </si>
  <si>
    <t>2023年新規レンタル実績</t>
    <rPh sb="4" eb="5">
      <t>ネン</t>
    </rPh>
    <rPh sb="5" eb="7">
      <t>シンキ</t>
    </rPh>
    <rPh sb="11" eb="13">
      <t>ジッセキ</t>
    </rPh>
    <phoneticPr fontId="6"/>
  </si>
  <si>
    <t>2024年新規レンタル実績</t>
    <rPh sb="4" eb="5">
      <t>ネン</t>
    </rPh>
    <rPh sb="5" eb="7">
      <t>シンキ</t>
    </rPh>
    <rPh sb="11" eb="13">
      <t>ジッセキ</t>
    </rPh>
    <phoneticPr fontId="6"/>
  </si>
  <si>
    <t>合計台数</t>
    <rPh sb="0" eb="4">
      <t>ゴウケイダイスウ</t>
    </rPh>
    <phoneticPr fontId="6"/>
  </si>
  <si>
    <t>保有台数</t>
    <rPh sb="0" eb="2">
      <t>ホユウ</t>
    </rPh>
    <rPh sb="2" eb="4">
      <t>ダイスウ</t>
    </rPh>
    <phoneticPr fontId="6"/>
  </si>
  <si>
    <t>602HW</t>
  </si>
  <si>
    <t>802ZT</t>
  </si>
  <si>
    <t>ﾃﾞｰﾀ通信ｶｰﾄﾞ利用料</t>
    <phoneticPr fontId="6"/>
  </si>
  <si>
    <t>iPad</t>
    <phoneticPr fontId="6"/>
  </si>
  <si>
    <t>iPadAir2</t>
  </si>
  <si>
    <t>iPadAir5</t>
  </si>
  <si>
    <t>解約済</t>
    <rPh sb="0" eb="2">
      <t>カイヤク</t>
    </rPh>
    <rPh sb="2" eb="3">
      <t>ズ</t>
    </rPh>
    <phoneticPr fontId="6"/>
  </si>
  <si>
    <t>iPad6</t>
  </si>
  <si>
    <t>台数</t>
    <rPh sb="0" eb="2">
      <t>ダイスウ</t>
    </rPh>
    <phoneticPr fontId="6"/>
  </si>
  <si>
    <t>iPad利用料</t>
    <phoneticPr fontId="6"/>
  </si>
  <si>
    <t>\\frontier-mgmt.local\share\b_経営管理部\【経理へ】請求書等共有\【02】支払申請済（請求書）\ソフトバンク株式会社（ConnecTalkの月額利用料）№9931257016</t>
    <phoneticPr fontId="6"/>
  </si>
  <si>
    <t>ConnecTalk月額利用料（基本料、外線GW接続、PBXタイプ）</t>
    <phoneticPr fontId="6"/>
  </si>
  <si>
    <t>契約回線数</t>
    <rPh sb="0" eb="2">
      <t>ケイヤク</t>
    </rPh>
    <rPh sb="2" eb="5">
      <t>カイセンスウ</t>
    </rPh>
    <phoneticPr fontId="6"/>
  </si>
  <si>
    <t>★契約の見直しにより回線数減</t>
    <rPh sb="1" eb="3">
      <t>ケイヤク</t>
    </rPh>
    <rPh sb="4" eb="6">
      <t>ミナオ</t>
    </rPh>
    <rPh sb="10" eb="13">
      <t>カイセンスウ</t>
    </rPh>
    <rPh sb="13" eb="14">
      <t>ゲン</t>
    </rPh>
    <phoneticPr fontId="6"/>
  </si>
  <si>
    <t>2023年新規購入実績</t>
    <rPh sb="4" eb="5">
      <t>ネン</t>
    </rPh>
    <rPh sb="5" eb="7">
      <t>シンキ</t>
    </rPh>
    <rPh sb="7" eb="9">
      <t>コウニュウ</t>
    </rPh>
    <rPh sb="9" eb="11">
      <t>ジッセキ</t>
    </rPh>
    <phoneticPr fontId="6"/>
  </si>
  <si>
    <t>月額</t>
    <rPh sb="0" eb="2">
      <t>ゲツガク</t>
    </rPh>
    <phoneticPr fontId="5"/>
  </si>
  <si>
    <t>HWD37</t>
    <phoneticPr fontId="6"/>
  </si>
  <si>
    <t>無制限</t>
    <rPh sb="0" eb="3">
      <t>ムセイゲン</t>
    </rPh>
    <phoneticPr fontId="6"/>
  </si>
  <si>
    <t>Wifiﾙｰﾀｰ月額利用料（大西代表）</t>
    <phoneticPr fontId="6"/>
  </si>
  <si>
    <t>クラウドサーバ利用料（Azure関連）</t>
    <phoneticPr fontId="6"/>
  </si>
  <si>
    <t>2025年実績との比較</t>
    <rPh sb="4" eb="5">
      <t>ネン</t>
    </rPh>
    <rPh sb="5" eb="7">
      <t>ジッセキ</t>
    </rPh>
    <rPh sb="9" eb="11">
      <t>ヒカク</t>
    </rPh>
    <phoneticPr fontId="6"/>
  </si>
  <si>
    <t>2026年予算-2025年予算の比較</t>
    <rPh sb="4" eb="7">
      <t>ネンヨサン</t>
    </rPh>
    <rPh sb="12" eb="13">
      <t>ネン</t>
    </rPh>
    <rPh sb="13" eb="15">
      <t>ヨサン</t>
    </rPh>
    <rPh sb="16" eb="18">
      <t>ヒカク</t>
    </rPh>
    <phoneticPr fontId="6"/>
  </si>
  <si>
    <t>2026年予算-2025年実績との比較</t>
    <rPh sb="4" eb="5">
      <t>ネン</t>
    </rPh>
    <rPh sb="5" eb="7">
      <t>ヨサン</t>
    </rPh>
    <rPh sb="12" eb="13">
      <t>ネン</t>
    </rPh>
    <rPh sb="13" eb="15">
      <t>ジッセキ</t>
    </rPh>
    <rPh sb="17" eb="19">
      <t>ヒカク</t>
    </rPh>
    <phoneticPr fontId="6"/>
  </si>
  <si>
    <t>2024年度実績</t>
    <rPh sb="4" eb="6">
      <t>ネンド</t>
    </rPh>
    <rPh sb="6" eb="8">
      <t>ジッセキ</t>
    </rPh>
    <phoneticPr fontId="6"/>
  </si>
  <si>
    <t>2024年度平均</t>
    <rPh sb="4" eb="6">
      <t>ネンド</t>
    </rPh>
    <rPh sb="6" eb="8">
      <t>ヘイキン</t>
    </rPh>
    <phoneticPr fontId="6"/>
  </si>
  <si>
    <t>★レンタルサーバ料金＋ドメインプロテクション料金</t>
    <rPh sb="8" eb="10">
      <t>リョウキン</t>
    </rPh>
    <rPh sb="22" eb="24">
      <t>リョウキン</t>
    </rPh>
    <phoneticPr fontId="6"/>
  </si>
  <si>
    <t>ﾌﾛﾝﾃｨｱ･ｷｬﾋﾟﾀﾙ㈱　ﾚﾝﾀﾙｻｰﾊﾞｰ利用料・ｻｰﾋﾞｽ維持調整料</t>
    <phoneticPr fontId="6"/>
  </si>
  <si>
    <t>ﾄﾞﾒｲﾝ用M365ﾗｲｾﾝｽ（管理部付(FCI)）</t>
  </si>
  <si>
    <t>月の増額</t>
    <rPh sb="0" eb="1">
      <t>ツキ</t>
    </rPh>
    <rPh sb="2" eb="4">
      <t>ゾウガク</t>
    </rPh>
    <phoneticPr fontId="6"/>
  </si>
  <si>
    <t>年間増額</t>
    <rPh sb="0" eb="2">
      <t>ネンカン</t>
    </rPh>
    <rPh sb="2" eb="4">
      <t>ゾウガク</t>
    </rPh>
    <phoneticPr fontId="6"/>
  </si>
  <si>
    <t>M 365 Business Basic</t>
  </si>
  <si>
    <t>Exchange Online Archiving</t>
    <phoneticPr fontId="6"/>
  </si>
  <si>
    <t>M365 E5</t>
    <phoneticPr fontId="6"/>
  </si>
  <si>
    <t>←2024年度予算</t>
    <rPh sb="5" eb="7">
      <t>ネンド</t>
    </rPh>
    <rPh sb="7" eb="9">
      <t>ヨサン</t>
    </rPh>
    <phoneticPr fontId="6"/>
  </si>
  <si>
    <t>←2024年見直案（5人増）</t>
    <rPh sb="6" eb="8">
      <t>ミナオ</t>
    </rPh>
    <rPh sb="8" eb="9">
      <t>アン</t>
    </rPh>
    <rPh sb="11" eb="13">
      <t>ニンゾウ</t>
    </rPh>
    <phoneticPr fontId="6"/>
  </si>
  <si>
    <t>増</t>
    <rPh sb="0" eb="1">
      <t>ゾウ</t>
    </rPh>
    <phoneticPr fontId="6"/>
  </si>
  <si>
    <t>Microsoft 365 Business Basic</t>
    <phoneticPr fontId="6"/>
  </si>
  <si>
    <t>Exchange Online Archiving</t>
  </si>
  <si>
    <t>Microsoft365 ﾗｲｾﾝｽ変更費用</t>
    <phoneticPr fontId="6"/>
  </si>
  <si>
    <r>
      <t>2026</t>
    </r>
    <r>
      <rPr>
        <sz val="11"/>
        <color rgb="FFFF0000"/>
        <rFont val="游ゴシック"/>
        <family val="3"/>
        <charset val="128"/>
        <scheme val="minor"/>
      </rPr>
      <t>年度予算</t>
    </r>
  </si>
  <si>
    <r>
      <t>有効期限が</t>
    </r>
    <r>
      <rPr>
        <sz val="11"/>
        <color rgb="FFFF0000"/>
        <rFont val="Aptos Narrow"/>
        <family val="2"/>
      </rPr>
      <t>2</t>
    </r>
    <r>
      <rPr>
        <sz val="11"/>
        <color rgb="FFFF0000"/>
        <rFont val="游ゴシック"/>
        <family val="3"/>
        <charset val="128"/>
        <scheme val="minor"/>
      </rPr>
      <t>年間のため、</t>
    </r>
    <r>
      <rPr>
        <sz val="11"/>
        <color rgb="FFFF0000"/>
        <rFont val="Aptos Narrow"/>
        <family val="2"/>
      </rPr>
      <t>2026</t>
    </r>
    <r>
      <rPr>
        <sz val="11"/>
        <color rgb="FFFF0000"/>
        <rFont val="游ゴシック"/>
        <family val="3"/>
        <charset val="128"/>
        <scheme val="minor"/>
      </rPr>
      <t>年度の予算計上はなし</t>
    </r>
  </si>
  <si>
    <r>
      <t>引き続き利用する場合は、</t>
    </r>
    <r>
      <rPr>
        <sz val="11"/>
        <color rgb="FFFF0000"/>
        <rFont val="Aptos Narrow"/>
        <family val="2"/>
      </rPr>
      <t>2027</t>
    </r>
    <r>
      <rPr>
        <sz val="11"/>
        <color rgb="FFFF0000"/>
        <rFont val="游ゴシック"/>
        <family val="3"/>
        <charset val="128"/>
        <scheme val="minor"/>
      </rPr>
      <t>年で予算化</t>
    </r>
  </si>
  <si>
    <t>2027年度</t>
    <rPh sb="4" eb="6">
      <t>ネンド</t>
    </rPh>
    <phoneticPr fontId="6"/>
  </si>
  <si>
    <t>㈱帝国ﾃﾞｰﾀﾊﾞﾝｸ　電子入札用電子証明書(ICｶｰﾄﾞ）</t>
    <phoneticPr fontId="6"/>
  </si>
  <si>
    <t>※2025年度は予算無し</t>
    <rPh sb="5" eb="7">
      <t>ネンド</t>
    </rPh>
    <rPh sb="8" eb="11">
      <t>ヨサンナ</t>
    </rPh>
    <phoneticPr fontId="6"/>
  </si>
  <si>
    <t>トータル</t>
    <phoneticPr fontId="6"/>
  </si>
  <si>
    <t>2025/11/21時点</t>
    <rPh sb="10" eb="12">
      <t>ジテン</t>
    </rPh>
    <phoneticPr fontId="6"/>
  </si>
  <si>
    <t>ライセンス増</t>
    <rPh sb="5" eb="6">
      <t>ゾウ</t>
    </rPh>
    <phoneticPr fontId="6"/>
  </si>
  <si>
    <t>人員増30で計画</t>
    <rPh sb="0" eb="3">
      <t>ジンインゾウ</t>
    </rPh>
    <rPh sb="6" eb="8">
      <t>ケイカク</t>
    </rPh>
    <phoneticPr fontId="6"/>
  </si>
  <si>
    <t>Infiniti　XKeyPremium利用料25/7/10-26/7/10</t>
    <phoneticPr fontId="6"/>
  </si>
  <si>
    <t>Slack 料金プラン : チームにぴったりのプランを見つける | Slack</t>
  </si>
  <si>
    <t>新規</t>
    <rPh sb="0" eb="2">
      <t>シンキ</t>
    </rPh>
    <phoneticPr fontId="6"/>
  </si>
  <si>
    <t>Slack ビジネスプラス</t>
    <phoneticPr fontId="6"/>
  </si>
  <si>
    <t>ビジネス向けコラボレーション ソリューション | Google Workspace</t>
  </si>
  <si>
    <t>Standardプラン</t>
    <phoneticPr fontId="6"/>
  </si>
  <si>
    <t>GoogleWorkspace利用料</t>
    <rPh sb="15" eb="18">
      <t>リヨウリョウ</t>
    </rPh>
    <phoneticPr fontId="6"/>
  </si>
  <si>
    <t>リプレース計画案（2025/11/20時点）</t>
    <rPh sb="5" eb="7">
      <t>ケイカク</t>
    </rPh>
    <rPh sb="7" eb="8">
      <t>アン</t>
    </rPh>
    <rPh sb="19" eb="21">
      <t>ジテン</t>
    </rPh>
    <phoneticPr fontId="6"/>
  </si>
  <si>
    <t>★キッティング作業</t>
    <rPh sb="7" eb="9">
      <t>サギョウ</t>
    </rPh>
    <phoneticPr fontId="10"/>
  </si>
  <si>
    <t>個数 / ステータス</t>
  </si>
  <si>
    <t>列ラベル</t>
  </si>
  <si>
    <t>行ラベル</t>
  </si>
  <si>
    <t>セットアップ中</t>
  </si>
  <si>
    <t>使用中</t>
  </si>
  <si>
    <t>初期化待ち</t>
  </si>
  <si>
    <t>利用可＞リカバリ済み</t>
  </si>
  <si>
    <t>利用者決定(KEEP）</t>
  </si>
  <si>
    <t>総計</t>
  </si>
  <si>
    <t>2026年</t>
  </si>
  <si>
    <t>対象台数</t>
    <rPh sb="0" eb="2">
      <t>タイショウ</t>
    </rPh>
    <rPh sb="2" eb="4">
      <t>ダイスウ</t>
    </rPh>
    <phoneticPr fontId="6"/>
  </si>
  <si>
    <t>利用中（予定も含む）</t>
    <rPh sb="0" eb="3">
      <t>リヨウチュウ</t>
    </rPh>
    <rPh sb="4" eb="6">
      <t>ヨテイ</t>
    </rPh>
    <rPh sb="7" eb="8">
      <t>フク</t>
    </rPh>
    <phoneticPr fontId="6"/>
  </si>
  <si>
    <t>輸送費</t>
    <rPh sb="0" eb="3">
      <t>ユソウヒ</t>
    </rPh>
    <phoneticPr fontId="6"/>
  </si>
  <si>
    <t>Neusoftキッティング委託費用</t>
    <rPh sb="13" eb="17">
      <t>イタクヒヨウ</t>
    </rPh>
    <phoneticPr fontId="6"/>
  </si>
  <si>
    <t>★開始</t>
    <rPh sb="1" eb="3">
      <t>カイシ</t>
    </rPh>
    <phoneticPr fontId="6"/>
  </si>
  <si>
    <t>返却期限</t>
    <rPh sb="0" eb="2">
      <t>ヘンキャク</t>
    </rPh>
    <rPh sb="2" eb="4">
      <t>キゲン</t>
    </rPh>
    <phoneticPr fontId="6"/>
  </si>
  <si>
    <t>２月</t>
    <rPh sb="1" eb="2">
      <t>ガツ</t>
    </rPh>
    <phoneticPr fontId="6"/>
  </si>
  <si>
    <t>PCｷｯﾃｨﾝｸﾞ費用</t>
  </si>
  <si>
    <t>単価</t>
    <rPh sb="0" eb="2">
      <t>タンカ</t>
    </rPh>
    <phoneticPr fontId="10"/>
  </si>
  <si>
    <t>台数</t>
    <rPh sb="0" eb="2">
      <t>ダイスウ</t>
    </rPh>
    <phoneticPr fontId="10"/>
  </si>
  <si>
    <t>リプレース作業費用</t>
    <rPh sb="5" eb="7">
      <t>サギョウ</t>
    </rPh>
    <rPh sb="7" eb="9">
      <t>ヒヨウ</t>
    </rPh>
    <phoneticPr fontId="10"/>
  </si>
  <si>
    <t>現状7,400円</t>
    <rPh sb="0" eb="2">
      <t>ゲンジョウ</t>
    </rPh>
    <rPh sb="7" eb="8">
      <t>エン</t>
    </rPh>
    <phoneticPr fontId="10"/>
  </si>
  <si>
    <t>諸経費</t>
    <rPh sb="0" eb="3">
      <t>ショケイヒ</t>
    </rPh>
    <phoneticPr fontId="6"/>
  </si>
  <si>
    <t>PCリプレース準備費用（キッティング作業、ツール代</t>
    <rPh sb="7" eb="9">
      <t>ジュンビ</t>
    </rPh>
    <rPh sb="9" eb="11">
      <t>ヒヨウ</t>
    </rPh>
    <rPh sb="18" eb="20">
      <t>サギョウ</t>
    </rPh>
    <rPh sb="24" eb="25">
      <t>ダイ</t>
    </rPh>
    <phoneticPr fontId="6"/>
  </si>
  <si>
    <t>現状4,500円</t>
    <rPh sb="0" eb="2">
      <t>ゲンジョウ</t>
    </rPh>
    <rPh sb="7" eb="8">
      <t>エン</t>
    </rPh>
    <phoneticPr fontId="10"/>
  </si>
  <si>
    <t>マスタ展開ソフト購入費用(Ghost)</t>
    <rPh sb="3" eb="5">
      <t>テンカイ</t>
    </rPh>
    <rPh sb="8" eb="10">
      <t>コウニュウ</t>
    </rPh>
    <rPh sb="10" eb="12">
      <t>ヒヨウ</t>
    </rPh>
    <phoneticPr fontId="10"/>
  </si>
  <si>
    <t>マスタ作成委託費用</t>
    <rPh sb="3" eb="5">
      <t>サクセイ</t>
    </rPh>
    <rPh sb="5" eb="9">
      <t>イタクヒヨウ</t>
    </rPh>
    <phoneticPr fontId="10"/>
  </si>
  <si>
    <t>その他備品購入費</t>
    <rPh sb="2" eb="3">
      <t>ホカ</t>
    </rPh>
    <rPh sb="3" eb="8">
      <t>ビヒンコウニュウヒ</t>
    </rPh>
    <phoneticPr fontId="6"/>
  </si>
  <si>
    <t>PCリプレース準備費用（キッティング作業、ツール代）</t>
    <rPh sb="7" eb="9">
      <t>ジュンビ</t>
    </rPh>
    <rPh sb="9" eb="11">
      <t>ヒヨウ</t>
    </rPh>
    <rPh sb="18" eb="20">
      <t>サギョウ</t>
    </rPh>
    <rPh sb="24" eb="25">
      <t>ダイ</t>
    </rPh>
    <phoneticPr fontId="10"/>
  </si>
  <si>
    <t>PCリプレース解約金</t>
    <phoneticPr fontId="6"/>
  </si>
  <si>
    <t>SurfacePro8途中解約金（本体、キーボード、ドック含む）</t>
    <rPh sb="17" eb="19">
      <t>ホンタイ</t>
    </rPh>
    <rPh sb="29" eb="30">
      <t>フク</t>
    </rPh>
    <phoneticPr fontId="6"/>
  </si>
  <si>
    <t>surface 解約</t>
    <rPh sb="8" eb="10">
      <t>カイヤク</t>
    </rPh>
    <phoneticPr fontId="6"/>
  </si>
  <si>
    <t>★3年契約終了月</t>
    <rPh sb="2" eb="3">
      <t>ネン</t>
    </rPh>
    <rPh sb="3" eb="5">
      <t>ケイヤク</t>
    </rPh>
    <rPh sb="5" eb="7">
      <t>シュウリョウ</t>
    </rPh>
    <rPh sb="7" eb="8">
      <t>ツキ</t>
    </rPh>
    <phoneticPr fontId="6"/>
  </si>
  <si>
    <t>→予測</t>
    <rPh sb="1" eb="3">
      <t>ヨソク</t>
    </rPh>
    <phoneticPr fontId="6"/>
  </si>
  <si>
    <t>SQLｻｰﾊﾞﾗｲｾﾝｽ(奉行用)23/9-26/8</t>
  </si>
  <si>
    <t>単価(月額)</t>
    <rPh sb="0" eb="2">
      <t>タンカ</t>
    </rPh>
    <rPh sb="3" eb="5">
      <t>ゲツガク</t>
    </rPh>
    <phoneticPr fontId="6"/>
  </si>
  <si>
    <t>ITヘルプデスク</t>
  </si>
  <si>
    <t>オペレータ(日)</t>
    <rPh sb="6" eb="7">
      <t>ニチ</t>
    </rPh>
    <phoneticPr fontId="6"/>
  </si>
  <si>
    <t>オペレータ(日・英)</t>
    <rPh sb="6" eb="7">
      <t>ニチ</t>
    </rPh>
    <rPh sb="8" eb="9">
      <t>エイ</t>
    </rPh>
    <phoneticPr fontId="6"/>
  </si>
  <si>
    <t>キッティング費用</t>
    <rPh sb="6" eb="8">
      <t>ヒヨウ</t>
    </rPh>
    <phoneticPr fontId="6"/>
  </si>
  <si>
    <t>国際回線使用料</t>
    <rPh sb="0" eb="2">
      <t>コクサイ</t>
    </rPh>
    <rPh sb="2" eb="7">
      <t>カイセンシヨウリョウ</t>
    </rPh>
    <phoneticPr fontId="6"/>
  </si>
  <si>
    <t>CRMシステム</t>
    <phoneticPr fontId="6"/>
  </si>
  <si>
    <t>ITエンジニア・ヘルプデスク(常駐)</t>
    <rPh sb="15" eb="17">
      <t>ジョウチュウ</t>
    </rPh>
    <phoneticPr fontId="9"/>
  </si>
  <si>
    <t>ITヘルプデスク</t>
    <phoneticPr fontId="6"/>
  </si>
  <si>
    <t>サーバ保守</t>
    <rPh sb="3" eb="5">
      <t>ホシュ</t>
    </rPh>
    <phoneticPr fontId="6"/>
  </si>
  <si>
    <t>Neusoft　IT：大連2名</t>
    <phoneticPr fontId="6"/>
  </si>
  <si>
    <t>Neusoft　IT：オフィス常駐２名</t>
    <phoneticPr fontId="6"/>
  </si>
  <si>
    <t>Neusoft　IT：大連3名</t>
    <phoneticPr fontId="6"/>
  </si>
  <si>
    <t>費用</t>
  </si>
  <si>
    <t>P１ライセンス　年間約540万</t>
  </si>
  <si>
    <t>Azure VPN Gateway利用料　年間約70万</t>
  </si>
  <si>
    <t>→　610万　→　予算でキリの良い数字にするため　 月55x 12 = 660万で予算を付けるのはどうか。</t>
  </si>
  <si>
    <t xml:space="preserve">As Is) </t>
  </si>
  <si>
    <t>高コストのSmart VPN(年間210万)とAzure express route(年間360万)を利用している。※約570万程度のコスト</t>
  </si>
  <si>
    <r>
      <t>（ただし帯域を挙げるたびにVPN利用料が大幅に上がる）</t>
    </r>
    <r>
      <rPr>
        <sz val="11"/>
        <color theme="1"/>
        <rFont val="ＭＳ 明朝"/>
        <family val="1"/>
        <charset val="128"/>
      </rPr>
      <t>​</t>
    </r>
    <phoneticPr fontId="6"/>
  </si>
  <si>
    <t>Azure VPNの導入について202407.pptx</t>
  </si>
  <si>
    <t>大塚商会　？？　（MSへの支払い？）</t>
  </si>
  <si>
    <t>VPNリプレース（MS　VPMサービス）</t>
  </si>
  <si>
    <t>旧</t>
  </si>
  <si>
    <t>ITプロジェクト計画予算2025年.loop</t>
  </si>
  <si>
    <t>新</t>
  </si>
  <si>
    <t>Capex （2026ITプロジェクト予算）.loop</t>
  </si>
  <si>
    <t>根拠</t>
  </si>
  <si>
    <t>WindowsServer 2016 EOL</t>
  </si>
  <si>
    <t>1台</t>
  </si>
  <si>
    <t>単価</t>
  </si>
  <si>
    <t>移行費</t>
  </si>
  <si>
    <t>OS代</t>
  </si>
  <si>
    <t>Xpoint Cloud移行</t>
  </si>
  <si>
    <t>2024の見積もりが根拠</t>
  </si>
  <si>
    <t>Intersafe CAT EOL</t>
  </si>
  <si>
    <t>過去経験</t>
  </si>
  <si>
    <t>Japan AI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</si>
</sst>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41" formatCode="_ * #,##0_ ;_ * \-#,##0_ ;_ * &quot;-&quot;_ ;_ @_ "/>
    <numFmt numFmtId="176" formatCode="#,##0.0;[Red]\-#,##0.0"/>
    <numFmt numFmtId="177" formatCode="0_);[Red]\(0\)"/>
    <numFmt numFmtId="178" formatCode="&quot;¥&quot;#,##0_);[Red]\(&quot;¥&quot;#,##0\)"/>
  </numFmts>
  <fonts count="4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</font>
    <font>
      <sz val="11"/>
      <color rgb="FF9C0006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Tahoma"/>
      <family val="2"/>
      <charset val="1"/>
    </font>
    <font>
      <sz val="11"/>
      <color theme="1"/>
      <name val="游ゴシック"/>
      <family val="1"/>
      <charset val="128"/>
      <scheme val="minor"/>
    </font>
    <font>
      <sz val="11"/>
      <color theme="1"/>
      <name val="ＭＳ 明朝"/>
      <family val="1"/>
      <charset val="128"/>
    </font>
    <font>
      <sz val="1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  <font>
      <sz val="9"/>
      <name val="Meiryo UI"/>
      <family val="3"/>
      <charset val="128"/>
    </font>
    <font>
      <sz val="11"/>
      <color rgb="FF323130"/>
      <name val="Segoe UI"/>
      <family val="2"/>
    </font>
    <font>
      <i/>
      <sz val="11"/>
      <color theme="8"/>
      <name val="游ゴシック"/>
      <family val="3"/>
      <charset val="128"/>
      <scheme val="minor"/>
    </font>
    <font>
      <sz val="9"/>
      <color rgb="FFFF0000"/>
      <name val="Meiryo UI"/>
      <family val="3"/>
      <charset val="128"/>
    </font>
    <font>
      <sz val="11"/>
      <color theme="4"/>
      <name val="游ゴシック"/>
      <family val="2"/>
      <scheme val="minor"/>
    </font>
    <font>
      <i/>
      <sz val="11"/>
      <color theme="4"/>
      <name val="游ゴシック"/>
      <family val="2"/>
      <scheme val="minor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rgb="FF000000"/>
      <name val="Tahoma"/>
      <family val="2"/>
    </font>
    <font>
      <i/>
      <sz val="11"/>
      <color rgb="FF4472C4"/>
      <name val="游ゴシック"/>
      <family val="3"/>
      <charset val="128"/>
      <scheme val="minor"/>
    </font>
    <font>
      <i/>
      <sz val="11"/>
      <color theme="4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Cambria Math"/>
      <family val="2"/>
    </font>
    <font>
      <sz val="11"/>
      <color theme="1"/>
      <name val="Cambria Math"/>
      <family val="1"/>
    </font>
    <font>
      <i/>
      <sz val="11"/>
      <color rgb="FFFF0000"/>
      <name val="游ゴシック"/>
      <family val="3"/>
      <charset val="128"/>
      <scheme val="minor"/>
    </font>
    <font>
      <sz val="11"/>
      <color rgb="FF000000"/>
      <name val="Segoe UI"/>
      <family val="2"/>
    </font>
    <font>
      <i/>
      <sz val="11"/>
      <color theme="1"/>
      <name val="游ゴシック"/>
      <family val="3"/>
      <charset val="128"/>
      <scheme val="minor"/>
    </font>
    <font>
      <sz val="14"/>
      <color rgb="FF000000"/>
      <name val="Noto Sans JP"/>
      <family val="3"/>
      <charset val="128"/>
    </font>
    <font>
      <sz val="11"/>
      <color theme="1"/>
      <name val="Calibri"/>
      <family val="1"/>
    </font>
    <font>
      <sz val="11"/>
      <color theme="1"/>
      <name val="Courier New"/>
      <family val="3"/>
      <charset val="1"/>
    </font>
    <font>
      <sz val="9"/>
      <name val="Meiryo UI"/>
      <family val="3"/>
    </font>
    <font>
      <sz val="10"/>
      <color rgb="FF323130"/>
      <name val="Segoe UI"/>
      <family val="2"/>
    </font>
    <font>
      <sz val="11"/>
      <color rgb="FFFF0000"/>
      <name val="Aptos Narrow"/>
      <family val="2"/>
    </font>
    <font>
      <sz val="11"/>
      <color rgb="FF1F2937"/>
      <name val="游ゴシック"/>
      <family val="3"/>
      <charset val="128"/>
      <scheme val="minor"/>
    </font>
    <font>
      <sz val="11"/>
      <color rgb="FF242424"/>
      <name val="Segoe U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D3B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rgb="FFFF0000"/>
      </left>
      <right/>
      <top/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theme="5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5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D6D6D6"/>
      </bottom>
      <diagonal/>
    </border>
    <border>
      <left/>
      <right/>
      <top/>
      <bottom style="thin">
        <color rgb="FFE0E0E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 style="thin">
        <color auto="1"/>
      </top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/>
      <top style="dotted">
        <color indexed="64"/>
      </top>
      <bottom/>
      <diagonal/>
    </border>
  </borders>
  <cellStyleXfs count="14">
    <xf numFmtId="0" fontId="0" fillId="0" borderId="0"/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5" fillId="0" borderId="0"/>
    <xf numFmtId="38" fontId="5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33">
    <xf numFmtId="0" fontId="0" fillId="0" borderId="0" xfId="0"/>
    <xf numFmtId="3" fontId="0" fillId="0" borderId="0" xfId="0" applyNumberFormat="1"/>
    <xf numFmtId="38" fontId="0" fillId="0" borderId="0" xfId="1" applyFont="1" applyAlignment="1"/>
    <xf numFmtId="38" fontId="0" fillId="0" borderId="0" xfId="0" applyNumberFormat="1"/>
    <xf numFmtId="0" fontId="7" fillId="0" borderId="0" xfId="0" applyFont="1"/>
    <xf numFmtId="38" fontId="0" fillId="2" borderId="0" xfId="1" applyFont="1" applyFill="1" applyAlignment="1"/>
    <xf numFmtId="38" fontId="0" fillId="2" borderId="0" xfId="0" applyNumberFormat="1" applyFill="1"/>
    <xf numFmtId="38" fontId="0" fillId="3" borderId="0" xfId="1" applyFont="1" applyFill="1" applyAlignment="1"/>
    <xf numFmtId="41" fontId="0" fillId="0" borderId="0" xfId="0" applyNumberFormat="1"/>
    <xf numFmtId="3" fontId="8" fillId="4" borderId="1" xfId="0" applyNumberFormat="1" applyFont="1" applyFill="1" applyBorder="1"/>
    <xf numFmtId="1" fontId="0" fillId="0" borderId="0" xfId="0" applyNumberFormat="1"/>
    <xf numFmtId="38" fontId="0" fillId="0" borderId="0" xfId="1" applyFont="1" applyFill="1" applyAlignment="1"/>
    <xf numFmtId="0" fontId="4" fillId="0" borderId="0" xfId="2">
      <alignment vertical="center"/>
    </xf>
    <xf numFmtId="38" fontId="4" fillId="0" borderId="0" xfId="2" applyNumberFormat="1">
      <alignment vertical="center"/>
    </xf>
    <xf numFmtId="38" fontId="0" fillId="0" borderId="0" xfId="3" applyFont="1" applyAlignment="1">
      <alignment horizontal="right" vertical="center"/>
    </xf>
    <xf numFmtId="0" fontId="4" fillId="0" borderId="0" xfId="2" applyAlignment="1">
      <alignment horizontal="right" vertical="center"/>
    </xf>
    <xf numFmtId="38" fontId="0" fillId="0" borderId="0" xfId="1" applyFont="1" applyFill="1" applyBorder="1" applyAlignment="1"/>
    <xf numFmtId="3" fontId="8" fillId="0" borderId="0" xfId="0" applyNumberFormat="1" applyFont="1"/>
    <xf numFmtId="38" fontId="0" fillId="5" borderId="0" xfId="1" applyFont="1" applyFill="1" applyBorder="1" applyAlignment="1"/>
    <xf numFmtId="0" fontId="12" fillId="0" borderId="0" xfId="0" applyFont="1"/>
    <xf numFmtId="0" fontId="13" fillId="0" borderId="0" xfId="0" applyFont="1"/>
    <xf numFmtId="38" fontId="12" fillId="0" borderId="0" xfId="1" applyFont="1" applyFill="1" applyBorder="1" applyAlignment="1"/>
    <xf numFmtId="38" fontId="12" fillId="5" borderId="0" xfId="1" applyFont="1" applyFill="1" applyBorder="1" applyAlignment="1"/>
    <xf numFmtId="0" fontId="4" fillId="5" borderId="0" xfId="2" applyFill="1">
      <alignment vertical="center"/>
    </xf>
    <xf numFmtId="38" fontId="0" fillId="5" borderId="0" xfId="0" applyNumberFormat="1" applyFill="1"/>
    <xf numFmtId="0" fontId="0" fillId="5" borderId="0" xfId="0" applyFill="1"/>
    <xf numFmtId="38" fontId="0" fillId="5" borderId="0" xfId="1" applyFont="1" applyFill="1" applyAlignment="1"/>
    <xf numFmtId="3" fontId="0" fillId="5" borderId="0" xfId="0" applyNumberFormat="1" applyFill="1"/>
    <xf numFmtId="38" fontId="14" fillId="5" borderId="0" xfId="1" applyFont="1" applyFill="1" applyAlignment="1"/>
    <xf numFmtId="38" fontId="14" fillId="0" borderId="0" xfId="1" applyFont="1" applyFill="1" applyAlignment="1"/>
    <xf numFmtId="0" fontId="16" fillId="0" borderId="0" xfId="0" applyFont="1"/>
    <xf numFmtId="38" fontId="0" fillId="0" borderId="0" xfId="1" applyFont="1" applyBorder="1" applyAlignment="1"/>
    <xf numFmtId="3" fontId="8" fillId="4" borderId="0" xfId="0" applyNumberFormat="1" applyFont="1" applyFill="1"/>
    <xf numFmtId="38" fontId="18" fillId="0" borderId="0" xfId="1" applyFont="1" applyFill="1" applyAlignment="1"/>
    <xf numFmtId="0" fontId="0" fillId="2" borderId="0" xfId="0" applyFill="1"/>
    <xf numFmtId="0" fontId="0" fillId="0" borderId="4" xfId="0" applyBorder="1"/>
    <xf numFmtId="38" fontId="0" fillId="0" borderId="4" xfId="1" applyFont="1" applyBorder="1" applyAlignment="1"/>
    <xf numFmtId="38" fontId="0" fillId="0" borderId="4" xfId="1" applyFont="1" applyFill="1" applyBorder="1" applyAlignment="1"/>
    <xf numFmtId="38" fontId="12" fillId="0" borderId="4" xfId="1" applyFont="1" applyBorder="1" applyAlignment="1"/>
    <xf numFmtId="0" fontId="0" fillId="0" borderId="3" xfId="0" applyBorder="1" applyAlignment="1">
      <alignment horizontal="right"/>
    </xf>
    <xf numFmtId="0" fontId="0" fillId="0" borderId="2" xfId="0" applyBorder="1"/>
    <xf numFmtId="0" fontId="0" fillId="0" borderId="3" xfId="0" applyBorder="1"/>
    <xf numFmtId="38" fontId="12" fillId="0" borderId="0" xfId="1" applyFont="1" applyBorder="1" applyAlignment="1"/>
    <xf numFmtId="14" fontId="0" fillId="0" borderId="0" xfId="0" applyNumberFormat="1"/>
    <xf numFmtId="0" fontId="0" fillId="0" borderId="8" xfId="0" applyBorder="1"/>
    <xf numFmtId="0" fontId="0" fillId="0" borderId="9" xfId="0" applyBorder="1"/>
    <xf numFmtId="38" fontId="0" fillId="0" borderId="9" xfId="1" applyFont="1" applyBorder="1" applyAlignment="1"/>
    <xf numFmtId="38" fontId="0" fillId="0" borderId="10" xfId="1" applyFont="1" applyFill="1" applyBorder="1" applyAlignment="1"/>
    <xf numFmtId="0" fontId="0" fillId="0" borderId="11" xfId="0" applyBorder="1"/>
    <xf numFmtId="38" fontId="0" fillId="0" borderId="12" xfId="1" applyFont="1" applyFill="1" applyBorder="1" applyAlignment="1"/>
    <xf numFmtId="0" fontId="0" fillId="0" borderId="13" xfId="0" applyBorder="1"/>
    <xf numFmtId="0" fontId="0" fillId="0" borderId="14" xfId="0" applyBorder="1"/>
    <xf numFmtId="38" fontId="0" fillId="0" borderId="14" xfId="1" applyFont="1" applyBorder="1" applyAlignment="1"/>
    <xf numFmtId="38" fontId="0" fillId="0" borderId="15" xfId="1" applyFont="1" applyFill="1" applyBorder="1" applyAlignment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7" borderId="0" xfId="0" applyFill="1"/>
    <xf numFmtId="0" fontId="0" fillId="8" borderId="0" xfId="0" applyFill="1"/>
    <xf numFmtId="0" fontId="0" fillId="8" borderId="12" xfId="0" applyFill="1" applyBorder="1"/>
    <xf numFmtId="0" fontId="0" fillId="8" borderId="14" xfId="0" applyFill="1" applyBorder="1"/>
    <xf numFmtId="0" fontId="0" fillId="8" borderId="15" xfId="0" applyFill="1" applyBorder="1"/>
    <xf numFmtId="0" fontId="19" fillId="8" borderId="0" xfId="0" applyFont="1" applyFill="1"/>
    <xf numFmtId="0" fontId="20" fillId="8" borderId="0" xfId="0" applyFont="1" applyFill="1"/>
    <xf numFmtId="0" fontId="0" fillId="5" borderId="9" xfId="0" applyFill="1" applyBorder="1"/>
    <xf numFmtId="0" fontId="0" fillId="9" borderId="0" xfId="0" applyFill="1"/>
    <xf numFmtId="0" fontId="0" fillId="9" borderId="14" xfId="0" applyFill="1" applyBorder="1"/>
    <xf numFmtId="38" fontId="0" fillId="0" borderId="12" xfId="0" applyNumberFormat="1" applyBorder="1"/>
    <xf numFmtId="38" fontId="12" fillId="0" borderId="11" xfId="1" applyFont="1" applyBorder="1" applyAlignment="1"/>
    <xf numFmtId="38" fontId="0" fillId="0" borderId="11" xfId="1" applyFont="1" applyBorder="1" applyAlignment="1"/>
    <xf numFmtId="38" fontId="0" fillId="0" borderId="13" xfId="1" applyFont="1" applyFill="1" applyBorder="1" applyAlignment="1"/>
    <xf numFmtId="38" fontId="0" fillId="0" borderId="14" xfId="0" applyNumberFormat="1" applyBorder="1"/>
    <xf numFmtId="38" fontId="0" fillId="8" borderId="12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38" fontId="0" fillId="0" borderId="20" xfId="1" applyFont="1" applyBorder="1" applyAlignment="1"/>
    <xf numFmtId="0" fontId="0" fillId="0" borderId="21" xfId="0" applyBorder="1"/>
    <xf numFmtId="0" fontId="0" fillId="0" borderId="22" xfId="0" applyBorder="1"/>
    <xf numFmtId="38" fontId="0" fillId="0" borderId="22" xfId="0" applyNumberFormat="1" applyBorder="1"/>
    <xf numFmtId="38" fontId="0" fillId="8" borderId="20" xfId="0" applyNumberFormat="1" applyFill="1" applyBorder="1"/>
    <xf numFmtId="38" fontId="0" fillId="8" borderId="23" xfId="0" applyNumberFormat="1" applyFill="1" applyBorder="1"/>
    <xf numFmtId="0" fontId="0" fillId="0" borderId="23" xfId="0" applyBorder="1"/>
    <xf numFmtId="38" fontId="0" fillId="8" borderId="0" xfId="0" applyNumberFormat="1" applyFill="1"/>
    <xf numFmtId="38" fontId="0" fillId="8" borderId="14" xfId="0" applyNumberFormat="1" applyFill="1" applyBorder="1"/>
    <xf numFmtId="38" fontId="0" fillId="8" borderId="14" xfId="1" applyFont="1" applyFill="1" applyBorder="1" applyAlignment="1"/>
    <xf numFmtId="38" fontId="0" fillId="8" borderId="15" xfId="1" applyFont="1" applyFill="1" applyBorder="1" applyAlignment="1"/>
    <xf numFmtId="38" fontId="0" fillId="8" borderId="12" xfId="1" applyFont="1" applyFill="1" applyBorder="1" applyAlignment="1"/>
    <xf numFmtId="0" fontId="0" fillId="0" borderId="20" xfId="0" applyBorder="1"/>
    <xf numFmtId="38" fontId="0" fillId="0" borderId="20" xfId="0" applyNumberFormat="1" applyBorder="1"/>
    <xf numFmtId="3" fontId="0" fillId="2" borderId="0" xfId="0" applyNumberFormat="1" applyFill="1"/>
    <xf numFmtId="3" fontId="4" fillId="0" borderId="0" xfId="2" applyNumberFormat="1">
      <alignment vertical="center"/>
    </xf>
    <xf numFmtId="55" fontId="0" fillId="0" borderId="0" xfId="0" applyNumberFormat="1"/>
    <xf numFmtId="3" fontId="22" fillId="0" borderId="0" xfId="0" applyNumberFormat="1" applyFont="1"/>
    <xf numFmtId="0" fontId="21" fillId="0" borderId="25" xfId="0" applyFont="1" applyBorder="1"/>
    <xf numFmtId="0" fontId="21" fillId="0" borderId="26" xfId="0" applyFont="1" applyBorder="1"/>
    <xf numFmtId="3" fontId="21" fillId="10" borderId="25" xfId="0" applyNumberFormat="1" applyFont="1" applyFill="1" applyBorder="1"/>
    <xf numFmtId="3" fontId="21" fillId="10" borderId="27" xfId="0" applyNumberFormat="1" applyFont="1" applyFill="1" applyBorder="1"/>
    <xf numFmtId="3" fontId="21" fillId="0" borderId="24" xfId="0" applyNumberFormat="1" applyFont="1" applyBorder="1"/>
    <xf numFmtId="38" fontId="23" fillId="0" borderId="0" xfId="1" applyFont="1" applyAlignment="1"/>
    <xf numFmtId="0" fontId="24" fillId="0" borderId="25" xfId="0" applyFont="1" applyBorder="1"/>
    <xf numFmtId="3" fontId="24" fillId="0" borderId="25" xfId="0" applyNumberFormat="1" applyFont="1" applyBorder="1"/>
    <xf numFmtId="38" fontId="21" fillId="10" borderId="25" xfId="1" applyFont="1" applyFill="1" applyBorder="1" applyAlignment="1"/>
    <xf numFmtId="38" fontId="21" fillId="10" borderId="27" xfId="1" applyFont="1" applyFill="1" applyBorder="1" applyAlignment="1"/>
    <xf numFmtId="38" fontId="21" fillId="0" borderId="24" xfId="1" applyFont="1" applyBorder="1" applyAlignment="1"/>
    <xf numFmtId="3" fontId="19" fillId="0" borderId="0" xfId="0" applyNumberFormat="1" applyFont="1"/>
    <xf numFmtId="38" fontId="0" fillId="9" borderId="12" xfId="1" applyFont="1" applyFill="1" applyBorder="1" applyAlignment="1"/>
    <xf numFmtId="38" fontId="0" fillId="9" borderId="15" xfId="1" applyFont="1" applyFill="1" applyBorder="1" applyAlignment="1"/>
    <xf numFmtId="38" fontId="25" fillId="0" borderId="0" xfId="1" applyFont="1" applyBorder="1" applyAlignment="1"/>
    <xf numFmtId="38" fontId="26" fillId="0" borderId="0" xfId="1" applyFont="1" applyBorder="1" applyAlignment="1"/>
    <xf numFmtId="0" fontId="0" fillId="0" borderId="0" xfId="0" applyAlignment="1">
      <alignment horizontal="right"/>
    </xf>
    <xf numFmtId="6" fontId="4" fillId="0" borderId="0" xfId="2" applyNumberFormat="1">
      <alignment vertical="center"/>
    </xf>
    <xf numFmtId="0" fontId="27" fillId="0" borderId="0" xfId="0" applyFont="1"/>
    <xf numFmtId="0" fontId="30" fillId="0" borderId="0" xfId="6"/>
    <xf numFmtId="0" fontId="0" fillId="0" borderId="0" xfId="0" applyAlignment="1">
      <alignment wrapText="1"/>
    </xf>
    <xf numFmtId="0" fontId="4" fillId="6" borderId="0" xfId="2" applyFill="1">
      <alignment vertical="center"/>
    </xf>
    <xf numFmtId="0" fontId="0" fillId="9" borderId="0" xfId="0" applyFill="1" applyAlignment="1">
      <alignment horizontal="right"/>
    </xf>
    <xf numFmtId="38" fontId="0" fillId="9" borderId="0" xfId="1" applyFont="1" applyFill="1" applyBorder="1" applyAlignment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38" fontId="0" fillId="5" borderId="0" xfId="1" applyFont="1" applyFill="1" applyAlignment="1">
      <alignment horizontal="right"/>
    </xf>
    <xf numFmtId="38" fontId="12" fillId="0" borderId="0" xfId="1" applyFont="1" applyFill="1" applyBorder="1" applyAlignment="1">
      <alignment horizontal="right"/>
    </xf>
    <xf numFmtId="38" fontId="21" fillId="0" borderId="0" xfId="5" applyFont="1" applyBorder="1" applyAlignment="1"/>
    <xf numFmtId="38" fontId="0" fillId="9" borderId="0" xfId="1" applyFont="1" applyFill="1" applyAlignment="1"/>
    <xf numFmtId="0" fontId="28" fillId="0" borderId="0" xfId="0" applyFont="1"/>
    <xf numFmtId="0" fontId="32" fillId="0" borderId="0" xfId="0" applyFont="1"/>
    <xf numFmtId="38" fontId="13" fillId="0" borderId="0" xfId="1" applyFont="1" applyAlignment="1"/>
    <xf numFmtId="0" fontId="0" fillId="5" borderId="4" xfId="0" applyFill="1" applyBorder="1"/>
    <xf numFmtId="1" fontId="0" fillId="5" borderId="4" xfId="0" applyNumberFormat="1" applyFill="1" applyBorder="1"/>
    <xf numFmtId="38" fontId="0" fillId="8" borderId="0" xfId="1" applyFont="1" applyFill="1" applyBorder="1" applyAlignment="1"/>
    <xf numFmtId="41" fontId="0" fillId="8" borderId="0" xfId="0" applyNumberFormat="1" applyFill="1"/>
    <xf numFmtId="38" fontId="12" fillId="0" borderId="0" xfId="1" applyFont="1" applyAlignment="1"/>
    <xf numFmtId="3" fontId="21" fillId="13" borderId="25" xfId="0" applyNumberFormat="1" applyFont="1" applyFill="1" applyBorder="1"/>
    <xf numFmtId="38" fontId="21" fillId="14" borderId="25" xfId="5" applyFont="1" applyFill="1" applyBorder="1" applyAlignment="1"/>
    <xf numFmtId="38" fontId="21" fillId="15" borderId="25" xfId="5" applyFont="1" applyFill="1" applyBorder="1" applyAlignment="1"/>
    <xf numFmtId="38" fontId="21" fillId="15" borderId="27" xfId="5" applyFont="1" applyFill="1" applyBorder="1" applyAlignment="1"/>
    <xf numFmtId="38" fontId="21" fillId="5" borderId="25" xfId="5" applyFont="1" applyFill="1" applyBorder="1" applyAlignment="1"/>
    <xf numFmtId="0" fontId="2" fillId="0" borderId="0" xfId="7">
      <alignment vertical="center"/>
    </xf>
    <xf numFmtId="0" fontId="2" fillId="0" borderId="0" xfId="8">
      <alignment vertical="center"/>
    </xf>
    <xf numFmtId="38" fontId="0" fillId="0" borderId="0" xfId="9" applyFont="1" applyAlignment="1">
      <alignment horizontal="right" vertical="center"/>
    </xf>
    <xf numFmtId="0" fontId="2" fillId="0" borderId="0" xfId="8" applyAlignment="1">
      <alignment horizontal="right" vertical="center"/>
    </xf>
    <xf numFmtId="0" fontId="2" fillId="5" borderId="0" xfId="8" applyFill="1">
      <alignment vertical="center"/>
    </xf>
    <xf numFmtId="38" fontId="0" fillId="0" borderId="0" xfId="9" applyFont="1" applyFill="1" applyAlignment="1">
      <alignment horizontal="right" vertical="center"/>
    </xf>
    <xf numFmtId="38" fontId="2" fillId="0" borderId="0" xfId="8" applyNumberFormat="1" applyAlignment="1">
      <alignment horizontal="right" vertical="center"/>
    </xf>
    <xf numFmtId="0" fontId="5" fillId="0" borderId="0" xfId="10"/>
    <xf numFmtId="0" fontId="5" fillId="0" borderId="28" xfId="10" applyBorder="1"/>
    <xf numFmtId="0" fontId="5" fillId="0" borderId="29" xfId="10" applyBorder="1"/>
    <xf numFmtId="38" fontId="0" fillId="0" borderId="29" xfId="9" applyFont="1" applyFill="1" applyBorder="1" applyAlignment="1"/>
    <xf numFmtId="38" fontId="0" fillId="0" borderId="29" xfId="11" applyFont="1" applyFill="1" applyBorder="1" applyAlignment="1"/>
    <xf numFmtId="38" fontId="5" fillId="0" borderId="30" xfId="9" applyFont="1" applyBorder="1" applyAlignment="1"/>
    <xf numFmtId="38" fontId="0" fillId="0" borderId="0" xfId="9" applyFont="1" applyFill="1" applyBorder="1" applyAlignment="1"/>
    <xf numFmtId="38" fontId="0" fillId="0" borderId="0" xfId="11" applyFont="1" applyFill="1" applyBorder="1" applyAlignment="1"/>
    <xf numFmtId="38" fontId="0" fillId="0" borderId="0" xfId="11" applyFont="1" applyBorder="1" applyAlignment="1"/>
    <xf numFmtId="38" fontId="5" fillId="0" borderId="28" xfId="9" applyFont="1" applyBorder="1" applyAlignment="1"/>
    <xf numFmtId="38" fontId="0" fillId="0" borderId="0" xfId="9" applyFont="1" applyFill="1" applyAlignment="1"/>
    <xf numFmtId="38" fontId="0" fillId="0" borderId="0" xfId="11" applyFont="1" applyFill="1" applyAlignment="1"/>
    <xf numFmtId="38" fontId="0" fillId="0" borderId="0" xfId="11" applyFont="1" applyAlignment="1"/>
    <xf numFmtId="38" fontId="5" fillId="0" borderId="0" xfId="10" applyNumberFormat="1"/>
    <xf numFmtId="38" fontId="0" fillId="0" borderId="0" xfId="9" applyFont="1" applyAlignment="1"/>
    <xf numFmtId="0" fontId="5" fillId="2" borderId="0" xfId="10" applyFill="1"/>
    <xf numFmtId="0" fontId="5" fillId="0" borderId="31" xfId="10" applyBorder="1"/>
    <xf numFmtId="0" fontId="5" fillId="2" borderId="31" xfId="10" applyFill="1" applyBorder="1"/>
    <xf numFmtId="38" fontId="5" fillId="0" borderId="31" xfId="9" applyFont="1" applyBorder="1" applyAlignment="1"/>
    <xf numFmtId="38" fontId="5" fillId="0" borderId="32" xfId="9" applyFont="1" applyBorder="1" applyAlignment="1"/>
    <xf numFmtId="38" fontId="5" fillId="0" borderId="0" xfId="9" applyFont="1" applyAlignment="1"/>
    <xf numFmtId="38" fontId="5" fillId="0" borderId="28" xfId="10" applyNumberFormat="1" applyBorder="1"/>
    <xf numFmtId="0" fontId="5" fillId="8" borderId="0" xfId="10" applyFill="1"/>
    <xf numFmtId="38" fontId="0" fillId="8" borderId="28" xfId="11" applyFont="1" applyFill="1" applyBorder="1" applyAlignment="1"/>
    <xf numFmtId="38" fontId="0" fillId="8" borderId="0" xfId="11" applyFont="1" applyFill="1" applyBorder="1" applyAlignment="1"/>
    <xf numFmtId="38" fontId="5" fillId="0" borderId="0" xfId="9" applyFont="1" applyFill="1" applyAlignment="1"/>
    <xf numFmtId="3" fontId="5" fillId="0" borderId="0" xfId="10" applyNumberFormat="1"/>
    <xf numFmtId="3" fontId="33" fillId="0" borderId="0" xfId="10" applyNumberFormat="1" applyFont="1"/>
    <xf numFmtId="38" fontId="0" fillId="5" borderId="0" xfId="11" applyFont="1" applyFill="1" applyBorder="1" applyAlignment="1"/>
    <xf numFmtId="38" fontId="5" fillId="5" borderId="0" xfId="9" applyFont="1" applyFill="1" applyAlignment="1"/>
    <xf numFmtId="38" fontId="21" fillId="0" borderId="27" xfId="5" applyFont="1" applyBorder="1" applyAlignment="1"/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0" fillId="0" borderId="35" xfId="6" applyBorder="1" applyAlignment="1">
      <alignment vertical="center" wrapText="1"/>
    </xf>
    <xf numFmtId="38" fontId="0" fillId="3" borderId="0" xfId="0" applyNumberFormat="1" applyFill="1"/>
    <xf numFmtId="38" fontId="21" fillId="2" borderId="26" xfId="5" applyFont="1" applyFill="1" applyBorder="1" applyAlignment="1"/>
    <xf numFmtId="38" fontId="21" fillId="2" borderId="25" xfId="5" applyFont="1" applyFill="1" applyBorder="1" applyAlignment="1"/>
    <xf numFmtId="38" fontId="21" fillId="2" borderId="36" xfId="5" applyFont="1" applyFill="1" applyBorder="1" applyAlignment="1"/>
    <xf numFmtId="38" fontId="21" fillId="2" borderId="27" xfId="5" applyFont="1" applyFill="1" applyBorder="1" applyAlignment="1"/>
    <xf numFmtId="38" fontId="12" fillId="0" borderId="37" xfId="1" applyFont="1" applyBorder="1" applyAlignment="1"/>
    <xf numFmtId="38" fontId="12" fillId="0" borderId="38" xfId="1" applyFont="1" applyBorder="1" applyAlignment="1"/>
    <xf numFmtId="38" fontId="0" fillId="0" borderId="40" xfId="0" applyNumberFormat="1" applyBorder="1"/>
    <xf numFmtId="176" fontId="0" fillId="0" borderId="0" xfId="1" applyNumberFormat="1" applyFont="1" applyAlignment="1"/>
    <xf numFmtId="176" fontId="0" fillId="0" borderId="0" xfId="1" applyNumberFormat="1" applyFont="1" applyFill="1" applyAlignment="1"/>
    <xf numFmtId="38" fontId="5" fillId="0" borderId="0" xfId="1" applyAlignment="1"/>
    <xf numFmtId="3" fontId="28" fillId="0" borderId="0" xfId="0" applyNumberFormat="1" applyFont="1"/>
    <xf numFmtId="38" fontId="5" fillId="0" borderId="31" xfId="1" applyBorder="1" applyAlignment="1"/>
    <xf numFmtId="38" fontId="5" fillId="5" borderId="0" xfId="1" applyFill="1" applyAlignment="1"/>
    <xf numFmtId="0" fontId="35" fillId="0" borderId="0" xfId="10" applyFont="1"/>
    <xf numFmtId="38" fontId="5" fillId="2" borderId="0" xfId="1" applyFill="1" applyAlignment="1"/>
    <xf numFmtId="0" fontId="5" fillId="2" borderId="41" xfId="10" applyFill="1" applyBorder="1"/>
    <xf numFmtId="38" fontId="5" fillId="2" borderId="41" xfId="1" applyFill="1" applyBorder="1" applyAlignment="1"/>
    <xf numFmtId="0" fontId="5" fillId="2" borderId="29" xfId="10" applyFill="1" applyBorder="1"/>
    <xf numFmtId="0" fontId="0" fillId="0" borderId="0" xfId="0" applyAlignment="1">
      <alignment vertical="center"/>
    </xf>
    <xf numFmtId="38" fontId="0" fillId="0" borderId="0" xfId="1" applyFont="1" applyAlignment="1">
      <alignment vertical="center"/>
    </xf>
    <xf numFmtId="38" fontId="14" fillId="0" borderId="0" xfId="1" applyFont="1" applyAlignment="1"/>
    <xf numFmtId="177" fontId="0" fillId="0" borderId="0" xfId="0" applyNumberFormat="1"/>
    <xf numFmtId="38" fontId="21" fillId="0" borderId="42" xfId="5" applyFont="1" applyBorder="1" applyAlignment="1"/>
    <xf numFmtId="0" fontId="0" fillId="0" borderId="0" xfId="8" applyFont="1">
      <alignment vertical="center"/>
    </xf>
    <xf numFmtId="0" fontId="0" fillId="0" borderId="0" xfId="8" applyFont="1" applyAlignment="1">
      <alignment horizontal="right" vertical="center"/>
    </xf>
    <xf numFmtId="0" fontId="0" fillId="5" borderId="0" xfId="8" applyFont="1" applyFill="1">
      <alignment vertical="center"/>
    </xf>
    <xf numFmtId="38" fontId="0" fillId="0" borderId="0" xfId="8" applyNumberFormat="1" applyFont="1" applyAlignment="1">
      <alignment horizontal="right" vertical="center"/>
    </xf>
    <xf numFmtId="38" fontId="2" fillId="0" borderId="0" xfId="7" applyNumberFormat="1">
      <alignment vertical="center"/>
    </xf>
    <xf numFmtId="0" fontId="0" fillId="0" borderId="29" xfId="10" applyFont="1" applyBorder="1"/>
    <xf numFmtId="38" fontId="0" fillId="0" borderId="29" xfId="9" applyFont="1" applyBorder="1" applyAlignment="1"/>
    <xf numFmtId="0" fontId="0" fillId="2" borderId="0" xfId="10" applyFont="1" applyFill="1"/>
    <xf numFmtId="0" fontId="0" fillId="0" borderId="31" xfId="10" applyFont="1" applyBorder="1"/>
    <xf numFmtId="0" fontId="0" fillId="2" borderId="31" xfId="10" applyFont="1" applyFill="1" applyBorder="1"/>
    <xf numFmtId="38" fontId="0" fillId="0" borderId="31" xfId="9" applyFont="1" applyBorder="1" applyAlignment="1"/>
    <xf numFmtId="38" fontId="0" fillId="0" borderId="0" xfId="10" applyNumberFormat="1" applyFont="1"/>
    <xf numFmtId="0" fontId="0" fillId="15" borderId="0" xfId="0" applyFill="1"/>
    <xf numFmtId="0" fontId="0" fillId="0" borderId="0" xfId="0" quotePrefix="1" applyAlignment="1">
      <alignment wrapText="1"/>
    </xf>
    <xf numFmtId="0" fontId="0" fillId="0" borderId="0" xfId="10" applyFont="1"/>
    <xf numFmtId="0" fontId="0" fillId="0" borderId="28" xfId="10" applyFont="1" applyBorder="1"/>
    <xf numFmtId="38" fontId="0" fillId="0" borderId="29" xfId="11" applyFont="1" applyBorder="1" applyAlignment="1"/>
    <xf numFmtId="38" fontId="0" fillId="0" borderId="30" xfId="9" applyFont="1" applyBorder="1" applyAlignment="1"/>
    <xf numFmtId="38" fontId="0" fillId="0" borderId="28" xfId="9" applyFont="1" applyBorder="1" applyAlignment="1"/>
    <xf numFmtId="38" fontId="0" fillId="0" borderId="32" xfId="9" applyFont="1" applyBorder="1" applyAlignment="1"/>
    <xf numFmtId="38" fontId="0" fillId="0" borderId="31" xfId="1" applyFont="1" applyBorder="1" applyAlignment="1"/>
    <xf numFmtId="38" fontId="0" fillId="0" borderId="28" xfId="10" applyNumberFormat="1" applyFont="1" applyBorder="1"/>
    <xf numFmtId="38" fontId="0" fillId="5" borderId="0" xfId="11" applyFont="1" applyFill="1" applyAlignment="1"/>
    <xf numFmtId="0" fontId="0" fillId="8" borderId="0" xfId="10" applyFont="1" applyFill="1"/>
    <xf numFmtId="38" fontId="0" fillId="8" borderId="0" xfId="11" applyFont="1" applyFill="1" applyAlignment="1"/>
    <xf numFmtId="38" fontId="0" fillId="5" borderId="0" xfId="9" applyFont="1" applyFill="1" applyAlignment="1"/>
    <xf numFmtId="3" fontId="0" fillId="0" borderId="0" xfId="10" applyNumberFormat="1" applyFont="1"/>
    <xf numFmtId="0" fontId="0" fillId="2" borderId="41" xfId="10" applyFont="1" applyFill="1" applyBorder="1"/>
    <xf numFmtId="38" fontId="0" fillId="2" borderId="41" xfId="1" applyFont="1" applyFill="1" applyBorder="1" applyAlignment="1"/>
    <xf numFmtId="0" fontId="0" fillId="2" borderId="29" xfId="10" applyFont="1" applyFill="1" applyBorder="1"/>
    <xf numFmtId="0" fontId="36" fillId="0" borderId="0" xfId="10" applyFont="1"/>
    <xf numFmtId="3" fontId="21" fillId="0" borderId="0" xfId="0" applyNumberFormat="1" applyFont="1"/>
    <xf numFmtId="38" fontId="0" fillId="2" borderId="20" xfId="1" applyFont="1" applyFill="1" applyBorder="1" applyAlignment="1"/>
    <xf numFmtId="38" fontId="0" fillId="0" borderId="0" xfId="3" applyFont="1" applyAlignment="1">
      <alignment vertical="center"/>
    </xf>
    <xf numFmtId="1" fontId="4" fillId="0" borderId="0" xfId="2" applyNumberFormat="1">
      <alignment vertical="center"/>
    </xf>
    <xf numFmtId="6" fontId="0" fillId="0" borderId="0" xfId="0" applyNumberFormat="1"/>
    <xf numFmtId="38" fontId="19" fillId="0" borderId="0" xfId="0" applyNumberFormat="1" applyFont="1"/>
    <xf numFmtId="178" fontId="0" fillId="0" borderId="0" xfId="1" applyNumberFormat="1" applyFont="1" applyAlignment="1"/>
    <xf numFmtId="178" fontId="0" fillId="0" borderId="0" xfId="0" applyNumberFormat="1"/>
    <xf numFmtId="178" fontId="37" fillId="0" borderId="0" xfId="0" applyNumberFormat="1" applyFont="1"/>
    <xf numFmtId="20" fontId="0" fillId="0" borderId="0" xfId="0" applyNumberFormat="1"/>
    <xf numFmtId="3" fontId="38" fillId="16" borderId="43" xfId="0" applyNumberFormat="1" applyFont="1" applyFill="1" applyBorder="1" applyAlignment="1">
      <alignment wrapText="1"/>
    </xf>
    <xf numFmtId="3" fontId="38" fillId="16" borderId="44" xfId="0" applyNumberFormat="1" applyFont="1" applyFill="1" applyBorder="1" applyAlignment="1">
      <alignment wrapText="1"/>
    </xf>
    <xf numFmtId="0" fontId="38" fillId="16" borderId="43" xfId="0" applyFont="1" applyFill="1" applyBorder="1" applyAlignment="1">
      <alignment wrapText="1"/>
    </xf>
    <xf numFmtId="0" fontId="38" fillId="16" borderId="44" xfId="0" applyFont="1" applyFill="1" applyBorder="1" applyAlignment="1">
      <alignment wrapText="1"/>
    </xf>
    <xf numFmtId="38" fontId="39" fillId="0" borderId="0" xfId="0" applyNumberFormat="1" applyFont="1"/>
    <xf numFmtId="3" fontId="38" fillId="16" borderId="0" xfId="0" applyNumberFormat="1" applyFont="1" applyFill="1" applyAlignment="1">
      <alignment wrapText="1"/>
    </xf>
    <xf numFmtId="38" fontId="38" fillId="16" borderId="43" xfId="0" applyNumberFormat="1" applyFont="1" applyFill="1" applyBorder="1" applyAlignment="1">
      <alignment wrapText="1"/>
    </xf>
    <xf numFmtId="6" fontId="0" fillId="0" borderId="0" xfId="12" applyFont="1" applyAlignment="1"/>
    <xf numFmtId="0" fontId="0" fillId="0" borderId="0" xfId="0" applyAlignment="1">
      <alignment horizontal="left"/>
    </xf>
    <xf numFmtId="0" fontId="0" fillId="0" borderId="48" xfId="0" applyBorder="1"/>
    <xf numFmtId="0" fontId="0" fillId="0" borderId="49" xfId="0" applyBorder="1"/>
    <xf numFmtId="38" fontId="0" fillId="0" borderId="48" xfId="1" applyFont="1" applyBorder="1" applyAlignment="1"/>
    <xf numFmtId="38" fontId="0" fillId="0" borderId="49" xfId="1" applyFont="1" applyBorder="1" applyAlignment="1"/>
    <xf numFmtId="3" fontId="0" fillId="0" borderId="48" xfId="0" applyNumberFormat="1" applyBorder="1"/>
    <xf numFmtId="38" fontId="0" fillId="0" borderId="50" xfId="1" applyFont="1" applyBorder="1" applyAlignment="1"/>
    <xf numFmtId="0" fontId="0" fillId="0" borderId="51" xfId="0" applyBorder="1"/>
    <xf numFmtId="38" fontId="0" fillId="0" borderId="52" xfId="1" applyFont="1" applyBorder="1" applyAlignment="1"/>
    <xf numFmtId="0" fontId="19" fillId="0" borderId="0" xfId="0" applyFont="1"/>
    <xf numFmtId="38" fontId="0" fillId="12" borderId="0" xfId="0" applyNumberFormat="1" applyFill="1"/>
    <xf numFmtId="178" fontId="0" fillId="5" borderId="0" xfId="1" applyNumberFormat="1" applyFont="1" applyFill="1" applyAlignment="1"/>
    <xf numFmtId="38" fontId="21" fillId="0" borderId="25" xfId="5" applyFont="1" applyFill="1" applyBorder="1" applyAlignment="1"/>
    <xf numFmtId="38" fontId="21" fillId="0" borderId="27" xfId="5" applyFont="1" applyFill="1" applyBorder="1" applyAlignment="1"/>
    <xf numFmtId="3" fontId="38" fillId="13" borderId="43" xfId="0" applyNumberFormat="1" applyFont="1" applyFill="1" applyBorder="1" applyAlignment="1">
      <alignment wrapText="1"/>
    </xf>
    <xf numFmtId="38" fontId="0" fillId="13" borderId="0" xfId="1" applyFont="1" applyFill="1" applyAlignment="1"/>
    <xf numFmtId="38" fontId="21" fillId="14" borderId="36" xfId="5" applyFont="1" applyFill="1" applyBorder="1" applyAlignment="1"/>
    <xf numFmtId="3" fontId="40" fillId="0" borderId="0" xfId="0" applyNumberFormat="1" applyFont="1"/>
    <xf numFmtId="38" fontId="12" fillId="0" borderId="39" xfId="1" applyFont="1" applyBorder="1" applyAlignment="1"/>
    <xf numFmtId="38" fontId="0" fillId="0" borderId="14" xfId="1" applyFont="1" applyFill="1" applyBorder="1" applyAlignment="1"/>
    <xf numFmtId="38" fontId="0" fillId="0" borderId="12" xfId="1" applyFont="1" applyBorder="1" applyAlignment="1"/>
    <xf numFmtId="0" fontId="0" fillId="0" borderId="53" xfId="0" applyBorder="1"/>
    <xf numFmtId="0" fontId="0" fillId="0" borderId="54" xfId="0" applyBorder="1"/>
    <xf numFmtId="0" fontId="0" fillId="17" borderId="54" xfId="0" applyFill="1" applyBorder="1"/>
    <xf numFmtId="0" fontId="0" fillId="17" borderId="55" xfId="0" applyFill="1" applyBorder="1"/>
    <xf numFmtId="0" fontId="0" fillId="0" borderId="56" xfId="0" applyBorder="1"/>
    <xf numFmtId="0" fontId="0" fillId="0" borderId="57" xfId="0" applyBorder="1" applyAlignment="1">
      <alignment horizontal="right"/>
    </xf>
    <xf numFmtId="38" fontId="0" fillId="0" borderId="58" xfId="1" applyFont="1" applyBorder="1" applyAlignment="1"/>
    <xf numFmtId="0" fontId="29" fillId="0" borderId="56" xfId="0" applyFont="1" applyBorder="1"/>
    <xf numFmtId="38" fontId="0" fillId="0" borderId="58" xfId="1" applyFont="1" applyFill="1" applyBorder="1" applyAlignment="1"/>
    <xf numFmtId="0" fontId="0" fillId="0" borderId="58" xfId="0" applyBorder="1"/>
    <xf numFmtId="0" fontId="16" fillId="0" borderId="56" xfId="0" applyFont="1" applyBorder="1"/>
    <xf numFmtId="38" fontId="14" fillId="0" borderId="0" xfId="1" applyFont="1" applyFill="1" applyBorder="1" applyAlignment="1"/>
    <xf numFmtId="0" fontId="0" fillId="0" borderId="59" xfId="0" applyBorder="1"/>
    <xf numFmtId="0" fontId="0" fillId="0" borderId="60" xfId="0" applyBorder="1"/>
    <xf numFmtId="38" fontId="0" fillId="0" borderId="61" xfId="1" applyFont="1" applyBorder="1" applyAlignment="1"/>
    <xf numFmtId="0" fontId="0" fillId="11" borderId="0" xfId="0" applyFill="1"/>
    <xf numFmtId="0" fontId="29" fillId="0" borderId="11" xfId="0" applyFont="1" applyBorder="1"/>
    <xf numFmtId="38" fontId="0" fillId="11" borderId="0" xfId="0" applyNumberFormat="1" applyFill="1"/>
    <xf numFmtId="0" fontId="16" fillId="0" borderId="11" xfId="0" applyFont="1" applyBorder="1"/>
    <xf numFmtId="38" fontId="0" fillId="0" borderId="13" xfId="1" applyFont="1" applyBorder="1" applyAlignment="1"/>
    <xf numFmtId="0" fontId="0" fillId="11" borderId="14" xfId="0" applyFill="1" applyBorder="1"/>
    <xf numFmtId="38" fontId="0" fillId="11" borderId="14" xfId="0" applyNumberFormat="1" applyFill="1" applyBorder="1"/>
    <xf numFmtId="38" fontId="0" fillId="11" borderId="0" xfId="1" applyFont="1" applyFill="1" applyBorder="1" applyAlignment="1"/>
    <xf numFmtId="38" fontId="43" fillId="14" borderId="25" xfId="5" applyFont="1" applyFill="1" applyBorder="1" applyAlignment="1"/>
    <xf numFmtId="38" fontId="21" fillId="0" borderId="36" xfId="5" applyFont="1" applyFill="1" applyBorder="1" applyAlignment="1"/>
    <xf numFmtId="38" fontId="0" fillId="0" borderId="0" xfId="1" applyFont="1" applyFill="1" applyAlignment="1">
      <alignment horizontal="right"/>
    </xf>
    <xf numFmtId="38" fontId="21" fillId="0" borderId="26" xfId="5" applyFont="1" applyFill="1" applyBorder="1" applyAlignment="1"/>
    <xf numFmtId="3" fontId="21" fillId="0" borderId="25" xfId="0" applyNumberFormat="1" applyFont="1" applyBorder="1"/>
    <xf numFmtId="3" fontId="21" fillId="0" borderId="27" xfId="0" applyNumberFormat="1" applyFont="1" applyBorder="1"/>
    <xf numFmtId="0" fontId="0" fillId="6" borderId="11" xfId="0" applyFill="1" applyBorder="1"/>
    <xf numFmtId="0" fontId="29" fillId="6" borderId="11" xfId="0" applyFont="1" applyFill="1" applyBorder="1"/>
    <xf numFmtId="38" fontId="21" fillId="14" borderId="0" xfId="5" applyFont="1" applyFill="1" applyBorder="1" applyAlignment="1"/>
    <xf numFmtId="38" fontId="43" fillId="14" borderId="0" xfId="5" applyFont="1" applyFill="1" applyBorder="1" applyAlignment="1"/>
    <xf numFmtId="38" fontId="21" fillId="0" borderId="0" xfId="5" applyFont="1" applyFill="1" applyBorder="1" applyAlignment="1"/>
    <xf numFmtId="38" fontId="43" fillId="0" borderId="25" xfId="5" applyFont="1" applyFill="1" applyBorder="1" applyAlignment="1"/>
    <xf numFmtId="38" fontId="43" fillId="0" borderId="0" xfId="5" applyFont="1" applyFill="1" applyBorder="1" applyAlignment="1"/>
    <xf numFmtId="38" fontId="0" fillId="11" borderId="0" xfId="1" applyFont="1" applyFill="1" applyAlignment="1"/>
    <xf numFmtId="38" fontId="21" fillId="5" borderId="36" xfId="5" applyFont="1" applyFill="1" applyBorder="1" applyAlignment="1"/>
    <xf numFmtId="3" fontId="44" fillId="0" borderId="0" xfId="0" applyNumberFormat="1" applyFont="1"/>
    <xf numFmtId="38" fontId="0" fillId="0" borderId="23" xfId="0" applyNumberFormat="1" applyBorder="1"/>
    <xf numFmtId="38" fontId="21" fillId="0" borderId="62" xfId="5" applyFont="1" applyFill="1" applyBorder="1" applyAlignment="1"/>
    <xf numFmtId="38" fontId="21" fillId="5" borderId="27" xfId="5" applyFont="1" applyFill="1" applyBorder="1" applyAlignment="1"/>
    <xf numFmtId="38" fontId="0" fillId="5" borderId="20" xfId="1" applyFont="1" applyFill="1" applyBorder="1" applyAlignment="1"/>
    <xf numFmtId="0" fontId="1" fillId="5" borderId="0" xfId="2" applyFont="1" applyFill="1">
      <alignment vertical="center"/>
    </xf>
    <xf numFmtId="0" fontId="2" fillId="0" borderId="0" xfId="7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 indent="1"/>
    </xf>
    <xf numFmtId="22" fontId="0" fillId="0" borderId="0" xfId="0" applyNumberFormat="1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7" applyFont="1">
      <alignment vertical="center"/>
    </xf>
    <xf numFmtId="38" fontId="1" fillId="0" borderId="0" xfId="1" applyFont="1" applyFill="1">
      <alignment vertical="center"/>
    </xf>
    <xf numFmtId="0" fontId="1" fillId="11" borderId="0" xfId="7" applyFont="1" applyFill="1">
      <alignment vertical="center"/>
    </xf>
    <xf numFmtId="0" fontId="2" fillId="5" borderId="0" xfId="7" applyFill="1">
      <alignment vertical="center"/>
    </xf>
    <xf numFmtId="0" fontId="14" fillId="0" borderId="0" xfId="0" applyFont="1"/>
    <xf numFmtId="3" fontId="21" fillId="0" borderId="48" xfId="0" applyNumberFormat="1" applyFont="1" applyBorder="1"/>
    <xf numFmtId="0" fontId="20" fillId="5" borderId="0" xfId="0" applyFont="1" applyFill="1"/>
    <xf numFmtId="0" fontId="45" fillId="5" borderId="0" xfId="0" applyFont="1" applyFill="1"/>
    <xf numFmtId="0" fontId="19" fillId="5" borderId="0" xfId="0" applyFont="1" applyFill="1"/>
    <xf numFmtId="0" fontId="0" fillId="0" borderId="0" xfId="13" applyFont="1">
      <alignment vertical="center"/>
    </xf>
    <xf numFmtId="0" fontId="0" fillId="15" borderId="0" xfId="13" applyFont="1" applyFill="1">
      <alignment vertical="center"/>
    </xf>
    <xf numFmtId="0" fontId="28" fillId="15" borderId="0" xfId="13" applyFont="1" applyFill="1" applyAlignment="1"/>
    <xf numFmtId="0" fontId="0" fillId="15" borderId="0" xfId="13" applyFont="1" applyFill="1" applyAlignment="1">
      <alignment horizontal="left" vertical="center"/>
    </xf>
    <xf numFmtId="0" fontId="0" fillId="0" borderId="0" xfId="13" applyFont="1" applyAlignment="1">
      <alignment horizontal="left" vertical="center"/>
    </xf>
    <xf numFmtId="0" fontId="0" fillId="18" borderId="0" xfId="13" applyFont="1" applyFill="1">
      <alignment vertical="center"/>
    </xf>
    <xf numFmtId="0" fontId="28" fillId="18" borderId="0" xfId="13" applyFont="1" applyFill="1" applyAlignment="1"/>
    <xf numFmtId="0" fontId="0" fillId="18" borderId="0" xfId="13" applyFont="1" applyFill="1" applyAlignment="1">
      <alignment horizontal="left" vertical="center"/>
    </xf>
    <xf numFmtId="0" fontId="0" fillId="19" borderId="0" xfId="13" applyFont="1" applyFill="1">
      <alignment vertical="center"/>
    </xf>
    <xf numFmtId="0" fontId="28" fillId="19" borderId="0" xfId="13" applyFont="1" applyFill="1" applyAlignment="1"/>
    <xf numFmtId="0" fontId="0" fillId="19" borderId="0" xfId="13" applyFont="1" applyFill="1" applyAlignment="1">
      <alignment horizontal="left" vertical="center"/>
    </xf>
    <xf numFmtId="0" fontId="0" fillId="11" borderId="0" xfId="13" applyFont="1" applyFill="1">
      <alignment vertical="center"/>
    </xf>
    <xf numFmtId="0" fontId="28" fillId="11" borderId="0" xfId="13" applyFont="1" applyFill="1" applyAlignment="1"/>
    <xf numFmtId="0" fontId="0" fillId="11" borderId="0" xfId="13" applyFont="1" applyFill="1" applyAlignment="1">
      <alignment horizontal="left" vertical="center"/>
    </xf>
    <xf numFmtId="0" fontId="0" fillId="2" borderId="0" xfId="13" applyFont="1" applyFill="1">
      <alignment vertical="center"/>
    </xf>
    <xf numFmtId="41" fontId="0" fillId="0" borderId="0" xfId="13" applyNumberFormat="1" applyFont="1">
      <alignment vertical="center"/>
    </xf>
    <xf numFmtId="41" fontId="28" fillId="15" borderId="0" xfId="13" applyNumberFormat="1" applyFont="1" applyFill="1" applyAlignment="1"/>
    <xf numFmtId="41" fontId="0" fillId="15" borderId="0" xfId="13" applyNumberFormat="1" applyFont="1" applyFill="1">
      <alignment vertical="center"/>
    </xf>
    <xf numFmtId="41" fontId="28" fillId="18" borderId="0" xfId="13" applyNumberFormat="1" applyFont="1" applyFill="1" applyAlignment="1"/>
    <xf numFmtId="41" fontId="0" fillId="18" borderId="0" xfId="13" applyNumberFormat="1" applyFont="1" applyFill="1">
      <alignment vertical="center"/>
    </xf>
    <xf numFmtId="41" fontId="28" fillId="19" borderId="0" xfId="13" applyNumberFormat="1" applyFont="1" applyFill="1" applyAlignment="1"/>
    <xf numFmtId="41" fontId="0" fillId="19" borderId="0" xfId="13" applyNumberFormat="1" applyFont="1" applyFill="1">
      <alignment vertical="center"/>
    </xf>
    <xf numFmtId="41" fontId="28" fillId="11" borderId="0" xfId="13" applyNumberFormat="1" applyFont="1" applyFill="1" applyAlignment="1"/>
    <xf numFmtId="41" fontId="0" fillId="11" borderId="0" xfId="13" applyNumberFormat="1" applyFont="1" applyFill="1">
      <alignment vertical="center"/>
    </xf>
    <xf numFmtId="0" fontId="0" fillId="20" borderId="0" xfId="13" applyFont="1" applyFill="1">
      <alignment vertical="center"/>
    </xf>
    <xf numFmtId="41" fontId="28" fillId="20" borderId="0" xfId="13" applyNumberFormat="1" applyFont="1" applyFill="1" applyAlignment="1"/>
    <xf numFmtId="0" fontId="28" fillId="20" borderId="0" xfId="13" applyFont="1" applyFill="1" applyAlignment="1"/>
    <xf numFmtId="0" fontId="0" fillId="20" borderId="0" xfId="13" applyFont="1" applyFill="1" applyAlignment="1">
      <alignment horizontal="left" vertical="center"/>
    </xf>
    <xf numFmtId="41" fontId="0" fillId="20" borderId="0" xfId="13" applyNumberFormat="1" applyFont="1" applyFill="1">
      <alignment vertical="center"/>
    </xf>
    <xf numFmtId="0" fontId="0" fillId="21" borderId="0" xfId="13" applyFont="1" applyFill="1">
      <alignment vertical="center"/>
    </xf>
    <xf numFmtId="41" fontId="28" fillId="21" borderId="0" xfId="13" applyNumberFormat="1" applyFont="1" applyFill="1" applyAlignment="1"/>
    <xf numFmtId="0" fontId="28" fillId="21" borderId="0" xfId="13" applyFont="1" applyFill="1" applyAlignment="1"/>
    <xf numFmtId="0" fontId="0" fillId="21" borderId="0" xfId="13" applyFont="1" applyFill="1" applyAlignment="1">
      <alignment horizontal="left" vertical="center"/>
    </xf>
    <xf numFmtId="41" fontId="0" fillId="21" borderId="0" xfId="13" applyNumberFormat="1" applyFont="1" applyFill="1">
      <alignment vertical="center"/>
    </xf>
    <xf numFmtId="0" fontId="0" fillId="22" borderId="0" xfId="13" applyFont="1" applyFill="1">
      <alignment vertical="center"/>
    </xf>
    <xf numFmtId="0" fontId="0" fillId="22" borderId="0" xfId="13" applyFont="1" applyFill="1" applyAlignment="1">
      <alignment horizontal="left" vertical="center"/>
    </xf>
    <xf numFmtId="41" fontId="0" fillId="22" borderId="0" xfId="13" applyNumberFormat="1" applyFont="1" applyFill="1">
      <alignment vertical="center"/>
    </xf>
    <xf numFmtId="38" fontId="0" fillId="20" borderId="0" xfId="1" applyFont="1" applyFill="1" applyAlignment="1"/>
    <xf numFmtId="38" fontId="19" fillId="0" borderId="0" xfId="1" applyFont="1" applyFill="1" applyAlignment="1"/>
    <xf numFmtId="3" fontId="46" fillId="0" borderId="0" xfId="0" applyNumberFormat="1" applyFont="1"/>
    <xf numFmtId="31" fontId="0" fillId="0" borderId="0" xfId="0" applyNumberFormat="1"/>
    <xf numFmtId="3" fontId="8" fillId="0" borderId="1" xfId="0" applyNumberFormat="1" applyFont="1" applyBorder="1"/>
    <xf numFmtId="0" fontId="45" fillId="0" borderId="0" xfId="0" applyFont="1"/>
    <xf numFmtId="0" fontId="20" fillId="0" borderId="0" xfId="0" applyFont="1"/>
    <xf numFmtId="0" fontId="47" fillId="16" borderId="43" xfId="0" applyFont="1" applyFill="1" applyBorder="1" applyAlignment="1">
      <alignment wrapText="1"/>
    </xf>
    <xf numFmtId="0" fontId="47" fillId="16" borderId="44" xfId="0" applyFont="1" applyFill="1" applyBorder="1" applyAlignment="1">
      <alignment wrapText="1"/>
    </xf>
    <xf numFmtId="38" fontId="0" fillId="11" borderId="12" xfId="0" applyNumberFormat="1" applyFill="1" applyBorder="1"/>
    <xf numFmtId="38" fontId="0" fillId="11" borderId="15" xfId="0" applyNumberFormat="1" applyFill="1" applyBorder="1"/>
    <xf numFmtId="38" fontId="0" fillId="11" borderId="12" xfId="1" applyFont="1" applyFill="1" applyBorder="1" applyAlignment="1"/>
    <xf numFmtId="38" fontId="0" fillId="5" borderId="12" xfId="1" applyFont="1" applyFill="1" applyBorder="1" applyAlignment="1"/>
    <xf numFmtId="0" fontId="1" fillId="0" borderId="0" xfId="2" applyFont="1">
      <alignment vertical="center"/>
    </xf>
    <xf numFmtId="0" fontId="1" fillId="0" borderId="0" xfId="2" applyFont="1" applyAlignment="1">
      <alignment horizontal="right" vertical="center"/>
    </xf>
    <xf numFmtId="0" fontId="1" fillId="6" borderId="0" xfId="2" applyFont="1" applyFill="1">
      <alignment vertical="center"/>
    </xf>
    <xf numFmtId="38" fontId="1" fillId="6" borderId="0" xfId="1" applyFont="1" applyFill="1">
      <alignment vertical="center"/>
    </xf>
    <xf numFmtId="38" fontId="1" fillId="5" borderId="0" xfId="1" applyFont="1" applyFill="1">
      <alignment vertical="center"/>
    </xf>
    <xf numFmtId="38" fontId="1" fillId="0" borderId="0" xfId="1" applyFont="1">
      <alignment vertical="center"/>
    </xf>
    <xf numFmtId="41" fontId="0" fillId="0" borderId="0" xfId="13" applyNumberFormat="1" applyFont="1" applyAlignment="1">
      <alignment horizontal="right" vertical="center"/>
    </xf>
    <xf numFmtId="38" fontId="0" fillId="20" borderId="0" xfId="1" applyFont="1" applyFill="1" applyBorder="1" applyAlignment="1"/>
    <xf numFmtId="38" fontId="0" fillId="20" borderId="0" xfId="1" applyFont="1" applyFill="1" applyBorder="1" applyAlignment="1">
      <alignment horizontal="right"/>
    </xf>
    <xf numFmtId="38" fontId="0" fillId="11" borderId="0" xfId="1" applyFont="1" applyFill="1" applyBorder="1" applyAlignment="1">
      <alignment horizontal="right"/>
    </xf>
    <xf numFmtId="0" fontId="0" fillId="20" borderId="0" xfId="0" applyFill="1"/>
    <xf numFmtId="38" fontId="0" fillId="20" borderId="0" xfId="0" applyNumberFormat="1" applyFill="1"/>
    <xf numFmtId="38" fontId="0" fillId="20" borderId="12" xfId="0" applyNumberFormat="1" applyFill="1" applyBorder="1"/>
    <xf numFmtId="38" fontId="0" fillId="20" borderId="12" xfId="1" applyFont="1" applyFill="1" applyBorder="1" applyAlignment="1"/>
    <xf numFmtId="38" fontId="0" fillId="0" borderId="0" xfId="1" applyFont="1">
      <alignment vertical="center"/>
    </xf>
    <xf numFmtId="38" fontId="0" fillId="0" borderId="0" xfId="13" applyNumberFormat="1" applyFont="1">
      <alignment vertical="center"/>
    </xf>
    <xf numFmtId="38" fontId="0" fillId="23" borderId="0" xfId="13" applyNumberFormat="1" applyFont="1" applyFill="1">
      <alignment vertical="center"/>
    </xf>
    <xf numFmtId="38" fontId="1" fillId="0" borderId="5" xfId="2" applyNumberFormat="1" applyFont="1" applyBorder="1" applyAlignment="1">
      <alignment horizontal="right" vertical="center"/>
    </xf>
    <xf numFmtId="0" fontId="4" fillId="0" borderId="6" xfId="2" applyBorder="1" applyAlignment="1">
      <alignment horizontal="right" vertical="center"/>
    </xf>
    <xf numFmtId="0" fontId="4" fillId="0" borderId="7" xfId="2" applyBorder="1" applyAlignment="1">
      <alignment horizontal="right" vertical="center"/>
    </xf>
    <xf numFmtId="38" fontId="4" fillId="5" borderId="5" xfId="2" applyNumberFormat="1" applyFill="1" applyBorder="1" applyAlignment="1">
      <alignment horizontal="right" vertical="center"/>
    </xf>
    <xf numFmtId="0" fontId="4" fillId="5" borderId="6" xfId="2" applyFill="1" applyBorder="1" applyAlignment="1">
      <alignment horizontal="right" vertical="center"/>
    </xf>
    <xf numFmtId="0" fontId="4" fillId="5" borderId="7" xfId="2" applyFill="1" applyBorder="1" applyAlignment="1">
      <alignment horizontal="right" vertical="center"/>
    </xf>
    <xf numFmtId="38" fontId="4" fillId="5" borderId="6" xfId="2" applyNumberFormat="1" applyFill="1" applyBorder="1" applyAlignment="1">
      <alignment horizontal="right" vertical="center"/>
    </xf>
    <xf numFmtId="38" fontId="4" fillId="5" borderId="7" xfId="2" applyNumberFormat="1" applyFill="1" applyBorder="1" applyAlignment="1">
      <alignment horizontal="right" vertical="center"/>
    </xf>
    <xf numFmtId="0" fontId="4" fillId="0" borderId="0" xfId="2" applyAlignment="1">
      <alignment horizontal="right" vertical="center"/>
    </xf>
    <xf numFmtId="38" fontId="0" fillId="0" borderId="0" xfId="3" applyFont="1" applyAlignment="1">
      <alignment horizontal="right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11" borderId="0" xfId="0" applyFill="1" applyAlignment="1">
      <alignment horizontal="right"/>
    </xf>
    <xf numFmtId="0" fontId="0" fillId="12" borderId="0" xfId="0" applyFill="1" applyAlignment="1">
      <alignment horizontal="left"/>
    </xf>
    <xf numFmtId="0" fontId="0" fillId="0" borderId="0" xfId="0" applyAlignment="1">
      <alignment horizontal="center" shrinkToFit="1"/>
    </xf>
    <xf numFmtId="0" fontId="0" fillId="0" borderId="0" xfId="0" applyAlignment="1">
      <alignment horizontal="right" vertical="center"/>
    </xf>
    <xf numFmtId="38" fontId="0" fillId="0" borderId="0" xfId="9" applyFont="1" applyAlignment="1">
      <alignment horizontal="right" vertical="center"/>
    </xf>
    <xf numFmtId="0" fontId="2" fillId="0" borderId="0" xfId="8" applyAlignment="1">
      <alignment horizontal="right" vertical="center"/>
    </xf>
    <xf numFmtId="38" fontId="2" fillId="0" borderId="5" xfId="8" applyNumberFormat="1" applyBorder="1" applyAlignment="1">
      <alignment horizontal="right" vertical="center"/>
    </xf>
    <xf numFmtId="0" fontId="2" fillId="0" borderId="6" xfId="8" applyBorder="1" applyAlignment="1">
      <alignment horizontal="right" vertical="center"/>
    </xf>
    <xf numFmtId="0" fontId="2" fillId="0" borderId="7" xfId="8" applyBorder="1" applyAlignment="1">
      <alignment horizontal="right" vertical="center"/>
    </xf>
    <xf numFmtId="38" fontId="2" fillId="5" borderId="5" xfId="8" applyNumberFormat="1" applyFill="1" applyBorder="1" applyAlignment="1">
      <alignment horizontal="right" vertical="center"/>
    </xf>
    <xf numFmtId="0" fontId="2" fillId="5" borderId="6" xfId="8" applyFill="1" applyBorder="1" applyAlignment="1">
      <alignment horizontal="right" vertical="center"/>
    </xf>
    <xf numFmtId="0" fontId="2" fillId="5" borderId="7" xfId="8" applyFill="1" applyBorder="1" applyAlignment="1">
      <alignment horizontal="right" vertical="center"/>
    </xf>
    <xf numFmtId="0" fontId="2" fillId="0" borderId="0" xfId="8" applyAlignment="1">
      <alignment horizontal="center" vertical="center"/>
    </xf>
    <xf numFmtId="0" fontId="0" fillId="0" borderId="0" xfId="8" applyFont="1" applyAlignment="1">
      <alignment horizontal="center" vertical="center"/>
    </xf>
    <xf numFmtId="0" fontId="0" fillId="0" borderId="0" xfId="8" applyFont="1" applyAlignment="1">
      <alignment horizontal="right" vertical="center"/>
    </xf>
    <xf numFmtId="38" fontId="0" fillId="5" borderId="5" xfId="8" applyNumberFormat="1" applyFont="1" applyFill="1" applyBorder="1" applyAlignment="1">
      <alignment horizontal="right" vertical="center"/>
    </xf>
    <xf numFmtId="0" fontId="0" fillId="5" borderId="6" xfId="8" applyFont="1" applyFill="1" applyBorder="1" applyAlignment="1">
      <alignment horizontal="right" vertical="center"/>
    </xf>
    <xf numFmtId="0" fontId="0" fillId="5" borderId="7" xfId="8" applyFont="1" applyFill="1" applyBorder="1" applyAlignment="1">
      <alignment horizontal="right" vertical="center"/>
    </xf>
    <xf numFmtId="38" fontId="0" fillId="0" borderId="5" xfId="8" applyNumberFormat="1" applyFont="1" applyBorder="1" applyAlignment="1">
      <alignment horizontal="right" vertical="center"/>
    </xf>
    <xf numFmtId="0" fontId="0" fillId="0" borderId="6" xfId="8" applyFont="1" applyBorder="1" applyAlignment="1">
      <alignment horizontal="right" vertical="center"/>
    </xf>
    <xf numFmtId="0" fontId="0" fillId="0" borderId="7" xfId="8" applyFont="1" applyBorder="1" applyAlignment="1">
      <alignment horizontal="right" vertical="center"/>
    </xf>
  </cellXfs>
  <cellStyles count="14">
    <cellStyle name="ハイパーリンク" xfId="6" builtinId="8"/>
    <cellStyle name="ハイパーリンク 2" xfId="4" xr:uid="{CE8733B9-52DB-4DE9-88F7-3030A0EE4C9B}"/>
    <cellStyle name="桁区切り" xfId="1" builtinId="6"/>
    <cellStyle name="桁区切り 2" xfId="3" xr:uid="{BCEE8628-69A3-4918-9822-A0A5B1567240}"/>
    <cellStyle name="桁区切り 2 2" xfId="9" xr:uid="{F9321F51-D3E3-4AA5-9DD6-B9396B2B414C}"/>
    <cellStyle name="桁区切り 3" xfId="11" xr:uid="{9ED70EC6-3919-4535-9E12-9F7B77FC56DB}"/>
    <cellStyle name="桁区切り 6" xfId="5" xr:uid="{56E33BA7-9BA7-4AC3-8D28-FD53315F23DE}"/>
    <cellStyle name="通貨" xfId="12" builtinId="7"/>
    <cellStyle name="標準" xfId="0" builtinId="0"/>
    <cellStyle name="標準 2" xfId="2" xr:uid="{7FAE211B-1A78-417F-AE2B-F03AC287ABB9}"/>
    <cellStyle name="標準 2 2" xfId="8" xr:uid="{3B7CCEFA-FDC3-46AF-831C-B12B70DC6315}"/>
    <cellStyle name="標準 3" xfId="7" xr:uid="{C64B599A-9D7B-445C-984E-7AFD463D37D4}"/>
    <cellStyle name="標準 3 2" xfId="10" xr:uid="{92BA3F5B-B6F6-45CC-94F1-919171A58123}"/>
    <cellStyle name="標準 4" xfId="13" xr:uid="{3F40D028-9C4D-464A-908F-C8B11A06DA2B}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85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86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73025</xdr:rowOff>
    </xdr:from>
    <xdr:to>
      <xdr:col>10</xdr:col>
      <xdr:colOff>143824</xdr:colOff>
      <xdr:row>42</xdr:row>
      <xdr:rowOff>168990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92416C58-31EB-9C17-09F6-84DF96831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5025"/>
          <a:ext cx="7008174" cy="5125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9</xdr:row>
      <xdr:rowOff>120650</xdr:rowOff>
    </xdr:from>
    <xdr:to>
      <xdr:col>9</xdr:col>
      <xdr:colOff>582631</xdr:colOff>
      <xdr:row>26</xdr:row>
      <xdr:rowOff>197403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A7EE55-4181-418E-B182-D4E643CA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178050"/>
          <a:ext cx="11517332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851647</xdr:colOff>
      <xdr:row>27</xdr:row>
      <xdr:rowOff>209177</xdr:rowOff>
    </xdr:from>
    <xdr:to>
      <xdr:col>9</xdr:col>
      <xdr:colOff>775029</xdr:colOff>
      <xdr:row>38</xdr:row>
      <xdr:rowOff>214762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F10A7D-A23B-EDF9-22E9-A0DCC9FB7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6462059"/>
          <a:ext cx="11726912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866588</xdr:colOff>
      <xdr:row>38</xdr:row>
      <xdr:rowOff>156882</xdr:rowOff>
    </xdr:from>
    <xdr:to>
      <xdr:col>9</xdr:col>
      <xdr:colOff>723285</xdr:colOff>
      <xdr:row>48</xdr:row>
      <xdr:rowOff>41582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FBF6E9A-930E-B607-E4B3-C777FC3F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588" y="8957235"/>
          <a:ext cx="11660227" cy="2200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2</xdr:row>
      <xdr:rowOff>72571</xdr:rowOff>
    </xdr:from>
    <xdr:to>
      <xdr:col>19</xdr:col>
      <xdr:colOff>117927</xdr:colOff>
      <xdr:row>12</xdr:row>
      <xdr:rowOff>90714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56E436-00BB-4052-BC02-F7733BFAEF56}"/>
            </a:ext>
          </a:extLst>
        </xdr:cNvPr>
        <xdr:cNvSpPr txBox="1"/>
      </xdr:nvSpPr>
      <xdr:spPr>
        <a:xfrm>
          <a:off x="14332857" y="526142"/>
          <a:ext cx="3329213" cy="22860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5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年間</a:t>
          </a:r>
          <a:r>
            <a:rPr kumimoji="1" lang="en-US" altLang="ja-JP" sz="1100" baseline="0">
              <a:solidFill>
                <a:srgbClr val="FF0000"/>
              </a:solidFill>
            </a:rPr>
            <a:t>2</a:t>
          </a:r>
          <a:r>
            <a:rPr kumimoji="1" lang="ja-JP" altLang="en-US" sz="1100" baseline="0">
              <a:solidFill>
                <a:srgbClr val="FF0000"/>
              </a:solidFill>
            </a:rPr>
            <a:t>千円弱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年の実績をベースに予算化したため、年間約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172357</xdr:colOff>
      <xdr:row>1</xdr:row>
      <xdr:rowOff>136071</xdr:rowOff>
    </xdr:from>
    <xdr:to>
      <xdr:col>18</xdr:col>
      <xdr:colOff>263070</xdr:colOff>
      <xdr:row>11</xdr:row>
      <xdr:rowOff>154215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4F338B-78A0-41D9-85F2-68A5C1948668}"/>
            </a:ext>
          </a:extLst>
        </xdr:cNvPr>
        <xdr:cNvSpPr txBox="1"/>
      </xdr:nvSpPr>
      <xdr:spPr>
        <a:xfrm>
          <a:off x="15049500" y="362857"/>
          <a:ext cx="3329213" cy="22860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18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年間</a:t>
          </a:r>
          <a:r>
            <a:rPr kumimoji="1" lang="en-US" altLang="ja-JP" sz="1100" baseline="0">
              <a:solidFill>
                <a:srgbClr val="FF0000"/>
              </a:solidFill>
            </a:rPr>
            <a:t>40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年の実績をベース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累積で増額しているため、年間約</a:t>
          </a:r>
          <a:r>
            <a:rPr kumimoji="1" lang="en-US" altLang="ja-JP" sz="1100">
              <a:solidFill>
                <a:srgbClr val="FF0000"/>
              </a:solidFill>
            </a:rPr>
            <a:t>40</a:t>
          </a:r>
          <a:r>
            <a:rPr kumimoji="1" lang="ja-JP" altLang="en-US" sz="1100">
              <a:solidFill>
                <a:srgbClr val="FF0000"/>
              </a:solidFill>
            </a:rPr>
            <a:t>万弱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290286</xdr:colOff>
      <xdr:row>1</xdr:row>
      <xdr:rowOff>0</xdr:rowOff>
    </xdr:from>
    <xdr:to>
      <xdr:col>16</xdr:col>
      <xdr:colOff>27214</xdr:colOff>
      <xdr:row>4</xdr:row>
      <xdr:rowOff>181428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B48A5AD-143D-1A83-8687-11C9547A151C}"/>
            </a:ext>
          </a:extLst>
        </xdr:cNvPr>
        <xdr:cNvSpPr txBox="1"/>
      </xdr:nvSpPr>
      <xdr:spPr>
        <a:xfrm>
          <a:off x="14214929" y="226786"/>
          <a:ext cx="2322285" cy="86178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362858</xdr:colOff>
      <xdr:row>0</xdr:row>
      <xdr:rowOff>72571</xdr:rowOff>
    </xdr:from>
    <xdr:to>
      <xdr:col>16</xdr:col>
      <xdr:colOff>99786</xdr:colOff>
      <xdr:row>4</xdr:row>
      <xdr:rowOff>27213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C4B5590-3D66-4E58-AF75-97AEC6279A42}"/>
            </a:ext>
          </a:extLst>
        </xdr:cNvPr>
        <xdr:cNvSpPr txBox="1"/>
      </xdr:nvSpPr>
      <xdr:spPr>
        <a:xfrm>
          <a:off x="14042572" y="72571"/>
          <a:ext cx="2322285" cy="86178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290285</xdr:colOff>
      <xdr:row>3</xdr:row>
      <xdr:rowOff>181429</xdr:rowOff>
    </xdr:from>
    <xdr:to>
      <xdr:col>14</xdr:col>
      <xdr:colOff>1034141</xdr:colOff>
      <xdr:row>8</xdr:row>
      <xdr:rowOff>181429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CC074D4-32C8-43EE-B5AC-1B16206E4216}"/>
            </a:ext>
          </a:extLst>
        </xdr:cNvPr>
        <xdr:cNvSpPr txBox="1"/>
      </xdr:nvSpPr>
      <xdr:spPr>
        <a:xfrm>
          <a:off x="13180785" y="861786"/>
          <a:ext cx="2322285" cy="113392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期間が</a:t>
          </a:r>
          <a:r>
            <a:rPr kumimoji="1" lang="en-US" altLang="ja-JP" sz="1100">
              <a:solidFill>
                <a:srgbClr val="FF0000"/>
              </a:solidFill>
            </a:rPr>
            <a:t>19/7-24/6</a:t>
          </a:r>
        </a:p>
        <a:p>
          <a:r>
            <a:rPr kumimoji="1" lang="ja-JP" altLang="en-US" sz="1100">
              <a:solidFill>
                <a:srgbClr val="FF0000"/>
              </a:solidFill>
            </a:rPr>
            <a:t>移転時の</a:t>
          </a:r>
          <a:r>
            <a:rPr kumimoji="1" lang="en-US" altLang="ja-JP" sz="1100">
              <a:solidFill>
                <a:srgbClr val="FF0000"/>
              </a:solidFill>
            </a:rPr>
            <a:t>LAN</a:t>
          </a:r>
          <a:r>
            <a:rPr kumimoji="1" lang="ja-JP" altLang="en-US" sz="1100">
              <a:solidFill>
                <a:srgbClr val="FF0000"/>
              </a:solidFill>
            </a:rPr>
            <a:t>設備保守費用を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年で償却したのであれば、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年度から予算は発生しないと思う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18</xdr:col>
      <xdr:colOff>208642</xdr:colOff>
      <xdr:row>11</xdr:row>
      <xdr:rowOff>18144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DD23F70-C9D2-495E-94F0-561866E33A12}"/>
            </a:ext>
          </a:extLst>
        </xdr:cNvPr>
        <xdr:cNvSpPr txBox="1"/>
      </xdr:nvSpPr>
      <xdr:spPr>
        <a:xfrm>
          <a:off x="15067643" y="226786"/>
          <a:ext cx="3329213" cy="22860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19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Down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年間</a:t>
          </a:r>
          <a:r>
            <a:rPr kumimoji="1" lang="en-US" altLang="ja-JP" sz="1100" baseline="0">
              <a:solidFill>
                <a:srgbClr val="FF0000"/>
              </a:solidFill>
            </a:rPr>
            <a:t>19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Down</a:t>
          </a:r>
        </a:p>
        <a:p>
          <a:r>
            <a:rPr kumimoji="1" lang="en-US" altLang="ja-JP" sz="1100" baseline="0">
              <a:solidFill>
                <a:srgbClr val="FF0000"/>
              </a:solidFill>
            </a:rPr>
            <a:t>Down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年度契約の見直し実施のたｍ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17</xdr:col>
      <xdr:colOff>81641</xdr:colOff>
      <xdr:row>11</xdr:row>
      <xdr:rowOff>18144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CC6BA0A-D5A5-449F-88AE-C3765D3E604B}"/>
            </a:ext>
          </a:extLst>
        </xdr:cNvPr>
        <xdr:cNvSpPr txBox="1"/>
      </xdr:nvSpPr>
      <xdr:spPr>
        <a:xfrm>
          <a:off x="14106071" y="226786"/>
          <a:ext cx="3329213" cy="22860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5</a:t>
          </a:r>
          <a:r>
            <a:rPr kumimoji="1" lang="ja-JP" altLang="en-US" sz="1100" baseline="0">
              <a:solidFill>
                <a:srgbClr val="FF0000"/>
              </a:solidFill>
            </a:rPr>
            <a:t>千円弱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千円弱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12</a:t>
          </a:r>
          <a:r>
            <a:rPr kumimoji="1" lang="ja-JP" altLang="en-US" sz="1100">
              <a:solidFill>
                <a:srgbClr val="FF0000"/>
              </a:solidFill>
            </a:rPr>
            <a:t>月契約更新時値上りのため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138546</xdr:colOff>
      <xdr:row>2</xdr:row>
      <xdr:rowOff>150091</xdr:rowOff>
    </xdr:from>
    <xdr:to>
      <xdr:col>15</xdr:col>
      <xdr:colOff>370279</xdr:colOff>
      <xdr:row>12</xdr:row>
      <xdr:rowOff>92365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2D8C2C7-B986-4CA6-87DB-29E6A08F3FEC}"/>
            </a:ext>
          </a:extLst>
        </xdr:cNvPr>
        <xdr:cNvSpPr txBox="1"/>
      </xdr:nvSpPr>
      <xdr:spPr>
        <a:xfrm>
          <a:off x="13231091" y="611909"/>
          <a:ext cx="3314370" cy="24822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X-point</a:t>
          </a:r>
          <a:r>
            <a:rPr kumimoji="1" lang="ja-JP" altLang="en-US" sz="1100">
              <a:solidFill>
                <a:srgbClr val="FF0000"/>
              </a:solidFill>
            </a:rPr>
            <a:t>年間保守料</a:t>
          </a:r>
          <a:r>
            <a:rPr kumimoji="1" lang="en-US" altLang="ja-JP" sz="1100">
              <a:solidFill>
                <a:srgbClr val="FF0000"/>
              </a:solidFill>
            </a:rPr>
            <a:t>22/10-23/09</a:t>
          </a: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5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契約更新で値上りのため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12</xdr:col>
      <xdr:colOff>140301</xdr:colOff>
      <xdr:row>67</xdr:row>
      <xdr:rowOff>173563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C80551C-E6EC-DE6E-5D8A-4DA2FC8C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091" y="9236364"/>
          <a:ext cx="12574755" cy="4791744"/>
        </a:xfrm>
        <a:prstGeom prst="rect">
          <a:avLst/>
        </a:prstGeom>
      </xdr:spPr>
    </xdr:pic>
    <xdr:clientData/>
  </xdr:twoCellAnchor>
  <xdr:twoCellAnchor>
    <xdr:from>
      <xdr:col>16</xdr:col>
      <xdr:colOff>187036</xdr:colOff>
      <xdr:row>2</xdr:row>
      <xdr:rowOff>198582</xdr:rowOff>
    </xdr:from>
    <xdr:to>
      <xdr:col>21</xdr:col>
      <xdr:colOff>210952</xdr:colOff>
      <xdr:row>12</xdr:row>
      <xdr:rowOff>140856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6B4E8B6-68FD-41D8-B581-AE2AC8A0D6DC}"/>
            </a:ext>
          </a:extLst>
        </xdr:cNvPr>
        <xdr:cNvSpPr txBox="1"/>
      </xdr:nvSpPr>
      <xdr:spPr>
        <a:xfrm>
          <a:off x="17020309" y="660400"/>
          <a:ext cx="3314370" cy="24822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X-point</a:t>
          </a:r>
          <a:r>
            <a:rPr kumimoji="1" lang="ja-JP" altLang="en-US" sz="1100">
              <a:solidFill>
                <a:srgbClr val="FF0000"/>
              </a:solidFill>
            </a:rPr>
            <a:t>ユーザーライセンス更新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年実績との比較</a:t>
          </a:r>
          <a:endParaRPr lang="ja-JP" altLang="ja-JP">
            <a:effectLst/>
          </a:endParaRPr>
        </a:p>
        <a:p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年間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弱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Down</a:t>
          </a:r>
          <a:b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年予算との比較</a:t>
          </a:r>
          <a:endParaRPr lang="ja-JP" altLang="ja-JP">
            <a:effectLst/>
          </a:endParaRPr>
        </a:p>
        <a:p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年間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弱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Down</a:t>
          </a:r>
          <a:endParaRPr lang="ja-JP" altLang="ja-JP">
            <a:effectLst/>
          </a:endParaRP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Doun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理由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ライセンス数減少のため</a:t>
          </a:r>
          <a:endParaRPr lang="ja-JP" altLang="ja-JP"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0</xdr:rowOff>
    </xdr:from>
    <xdr:to>
      <xdr:col>22</xdr:col>
      <xdr:colOff>152400</xdr:colOff>
      <xdr:row>21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0B2F4E2-CB12-477F-5B3F-C5B8C5B5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68725" y="476250"/>
          <a:ext cx="4267200" cy="4572000"/>
        </a:xfrm>
        <a:prstGeom prst="rect">
          <a:avLst/>
        </a:prstGeom>
      </xdr:spPr>
    </xdr:pic>
    <xdr:clientData/>
  </xdr:twoCellAnchor>
  <xdr:twoCellAnchor>
    <xdr:from>
      <xdr:col>9</xdr:col>
      <xdr:colOff>781050</xdr:colOff>
      <xdr:row>0</xdr:row>
      <xdr:rowOff>203200</xdr:rowOff>
    </xdr:from>
    <xdr:to>
      <xdr:col>12</xdr:col>
      <xdr:colOff>741135</xdr:colOff>
      <xdr:row>4</xdr:row>
      <xdr:rowOff>150585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2B85CC8-3F6D-4945-9611-64A044FB9373}"/>
            </a:ext>
          </a:extLst>
        </xdr:cNvPr>
        <xdr:cNvSpPr txBox="1"/>
      </xdr:nvSpPr>
      <xdr:spPr>
        <a:xfrm>
          <a:off x="11468100" y="203200"/>
          <a:ext cx="2322285" cy="86178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年度より値下がり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月で解約のため、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年度から予算は発生しない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472225</xdr:colOff>
      <xdr:row>3</xdr:row>
      <xdr:rowOff>67256</xdr:rowOff>
    </xdr:from>
    <xdr:to>
      <xdr:col>13</xdr:col>
      <xdr:colOff>143099</xdr:colOff>
      <xdr:row>9</xdr:row>
      <xdr:rowOff>17951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76369A5-CC0C-4E1F-8C22-BDED237BD60D}"/>
            </a:ext>
          </a:extLst>
        </xdr:cNvPr>
        <xdr:cNvSpPr txBox="1"/>
      </xdr:nvSpPr>
      <xdr:spPr>
        <a:xfrm>
          <a:off x="10274479" y="764862"/>
          <a:ext cx="3695521" cy="134590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同額で予算化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1047750</xdr:colOff>
      <xdr:row>0</xdr:row>
      <xdr:rowOff>209550</xdr:rowOff>
    </xdr:from>
    <xdr:to>
      <xdr:col>10</xdr:col>
      <xdr:colOff>29935</xdr:colOff>
      <xdr:row>8</xdr:row>
      <xdr:rowOff>63500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D4E22E4-F76D-4DC2-9BF5-9A04A3349B6F}"/>
            </a:ext>
          </a:extLst>
        </xdr:cNvPr>
        <xdr:cNvSpPr txBox="1"/>
      </xdr:nvSpPr>
      <xdr:spPr>
        <a:xfrm>
          <a:off x="9182100" y="209550"/>
          <a:ext cx="2322285" cy="1682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同額で予算化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※FBJ</a:t>
          </a:r>
          <a:r>
            <a:rPr kumimoji="1" lang="ja-JP" altLang="en-US" sz="1100">
              <a:solidFill>
                <a:srgbClr val="FF0000"/>
              </a:solidFill>
            </a:rPr>
            <a:t>見積もり待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773546</xdr:colOff>
      <xdr:row>22</xdr:row>
      <xdr:rowOff>23090</xdr:rowOff>
    </xdr:from>
    <xdr:to>
      <xdr:col>13</xdr:col>
      <xdr:colOff>386118</xdr:colOff>
      <xdr:row>52</xdr:row>
      <xdr:rowOff>69090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9313DC1-97FD-FBB2-48FF-43FB30D6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5273" y="5103090"/>
          <a:ext cx="11850754" cy="697327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579664</xdr:colOff>
      <xdr:row>9</xdr:row>
      <xdr:rowOff>152399</xdr:rowOff>
    </xdr:from>
    <xdr:to>
      <xdr:col>15</xdr:col>
      <xdr:colOff>211817</xdr:colOff>
      <xdr:row>15</xdr:row>
      <xdr:rowOff>83591</xdr:rowOff>
    </xdr:to>
    <xdr:sp macro="" textlink="">
      <xdr:nvSpPr>
        <xdr:cNvPr id="125" name="テキスト ボックス 1">
          <a:extLst>
            <a:ext uri="{FF2B5EF4-FFF2-40B4-BE49-F238E27FC236}">
              <a16:creationId xmlns:a16="http://schemas.microsoft.com/office/drawing/2014/main" id="{873B3FCF-8977-4F11-915E-9015C54293CE}"/>
            </a:ext>
          </a:extLst>
        </xdr:cNvPr>
        <xdr:cNvSpPr txBox="1"/>
      </xdr:nvSpPr>
      <xdr:spPr>
        <a:xfrm>
          <a:off x="11247664" y="2209799"/>
          <a:ext cx="2337253" cy="130279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年と同額</a:t>
          </a:r>
          <a:br>
            <a:rPr kumimoji="1" lang="en-US" altLang="ja-JP" sz="1100">
              <a:solidFill>
                <a:srgbClr val="FF0000"/>
              </a:solidFill>
            </a:rPr>
          </a:b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年実績と比較して約</a:t>
          </a:r>
          <a:r>
            <a:rPr kumimoji="1" lang="en-US" altLang="ja-JP" sz="1100">
              <a:solidFill>
                <a:srgbClr val="FF0000"/>
              </a:solidFill>
            </a:rPr>
            <a:t>18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計画の見直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104588</xdr:colOff>
      <xdr:row>0</xdr:row>
      <xdr:rowOff>171824</xdr:rowOff>
    </xdr:from>
    <xdr:to>
      <xdr:col>14</xdr:col>
      <xdr:colOff>73638</xdr:colOff>
      <xdr:row>6</xdr:row>
      <xdr:rowOff>104590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3D34355-7BB8-43D3-9E1A-88C3CBD2AF48}"/>
            </a:ext>
          </a:extLst>
        </xdr:cNvPr>
        <xdr:cNvSpPr txBox="1"/>
      </xdr:nvSpPr>
      <xdr:spPr>
        <a:xfrm>
          <a:off x="12587941" y="171824"/>
          <a:ext cx="2322285" cy="132229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年と同額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44824</xdr:colOff>
      <xdr:row>0</xdr:row>
      <xdr:rowOff>171823</xdr:rowOff>
    </xdr:from>
    <xdr:to>
      <xdr:col>12</xdr:col>
      <xdr:colOff>13874</xdr:colOff>
      <xdr:row>5</xdr:row>
      <xdr:rowOff>97117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FF8E769-F686-4408-9049-205D6B21D6A4}"/>
            </a:ext>
          </a:extLst>
        </xdr:cNvPr>
        <xdr:cNvSpPr txBox="1"/>
      </xdr:nvSpPr>
      <xdr:spPr>
        <a:xfrm>
          <a:off x="10720295" y="171823"/>
          <a:ext cx="2322285" cy="10832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年で契約終了のため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予算計上なし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310284</xdr:colOff>
      <xdr:row>0</xdr:row>
      <xdr:rowOff>122670</xdr:rowOff>
    </xdr:from>
    <xdr:to>
      <xdr:col>16</xdr:col>
      <xdr:colOff>318806</xdr:colOff>
      <xdr:row>8</xdr:row>
      <xdr:rowOff>86590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CA3F4E0-29DE-4123-BAAB-26204D1ECFC7}"/>
            </a:ext>
          </a:extLst>
        </xdr:cNvPr>
        <xdr:cNvSpPr txBox="1"/>
      </xdr:nvSpPr>
      <xdr:spPr>
        <a:xfrm>
          <a:off x="9575511" y="122670"/>
          <a:ext cx="3327840" cy="181119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7</a:t>
          </a:r>
          <a:r>
            <a:rPr kumimoji="1" lang="ja-JP" altLang="en-US" sz="1100" baseline="0">
              <a:solidFill>
                <a:srgbClr val="FF0000"/>
              </a:solidFill>
            </a:rPr>
            <a:t>千円弱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年契約更新の金額反映のため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216648</xdr:colOff>
      <xdr:row>0</xdr:row>
      <xdr:rowOff>52295</xdr:rowOff>
    </xdr:from>
    <xdr:to>
      <xdr:col>22</xdr:col>
      <xdr:colOff>257429</xdr:colOff>
      <xdr:row>8</xdr:row>
      <xdr:rowOff>10782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6247F62-401F-4017-8713-4640AC4A2D14}"/>
            </a:ext>
          </a:extLst>
        </xdr:cNvPr>
        <xdr:cNvSpPr txBox="1"/>
      </xdr:nvSpPr>
      <xdr:spPr>
        <a:xfrm>
          <a:off x="14395824" y="52295"/>
          <a:ext cx="3327840" cy="181119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年間約</a:t>
          </a:r>
          <a:r>
            <a:rPr kumimoji="1" lang="en-US" altLang="ja-JP" sz="1100" baseline="0">
              <a:solidFill>
                <a:srgbClr val="FF0000"/>
              </a:solidFill>
            </a:rPr>
            <a:t>7</a:t>
          </a:r>
          <a:r>
            <a:rPr kumimoji="1" lang="ja-JP" altLang="en-US" sz="1100" baseline="0">
              <a:solidFill>
                <a:srgbClr val="FF0000"/>
              </a:solidFill>
            </a:rPr>
            <a:t>万</a:t>
          </a:r>
          <a:r>
            <a:rPr kumimoji="1" lang="en-US" altLang="ja-JP" sz="1100" baseline="0">
              <a:solidFill>
                <a:srgbClr val="FF0000"/>
              </a:solidFill>
            </a:rPr>
            <a:t>Down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Down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現時点の利用状況を反映した結果予算ダウン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503386</xdr:colOff>
      <xdr:row>16</xdr:row>
      <xdr:rowOff>36779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F441AD1-D428-35A3-5E8D-169543892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8600"/>
          <a:ext cx="10525125" cy="3465779"/>
        </a:xfrm>
        <a:prstGeom prst="rect">
          <a:avLst/>
        </a:prstGeom>
      </xdr:spPr>
    </xdr:pic>
    <xdr:clientData/>
  </xdr:twoCellAnchor>
  <xdr:twoCellAnchor>
    <xdr:from>
      <xdr:col>16</xdr:col>
      <xdr:colOff>561975</xdr:colOff>
      <xdr:row>7</xdr:row>
      <xdr:rowOff>19050</xdr:rowOff>
    </xdr:from>
    <xdr:to>
      <xdr:col>20</xdr:col>
      <xdr:colOff>399624</xdr:colOff>
      <xdr:row>15</xdr:row>
      <xdr:rowOff>140277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854F32B-3F6D-4E21-BC50-5FB88837A34F}"/>
            </a:ext>
            <a:ext uri="{147F2762-F138-4A5C-976F-8EAC2B608ADB}">
              <a16:predDERef xmlns:a16="http://schemas.microsoft.com/office/drawing/2014/main" pred="{9F441AD1-D428-35A3-5E8D-169543892AF4}"/>
            </a:ext>
          </a:extLst>
        </xdr:cNvPr>
        <xdr:cNvSpPr txBox="1"/>
      </xdr:nvSpPr>
      <xdr:spPr>
        <a:xfrm>
          <a:off x="14487525" y="1619250"/>
          <a:ext cx="3333324" cy="19500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年間約</a:t>
          </a:r>
          <a:r>
            <a:rPr kumimoji="1" lang="en-US" altLang="ja-JP" sz="1100" baseline="0">
              <a:solidFill>
                <a:srgbClr val="FF0000"/>
              </a:solidFill>
            </a:rPr>
            <a:t>6</a:t>
          </a:r>
          <a:r>
            <a:rPr kumimoji="1" lang="ja-JP" altLang="en-US" sz="1100" baseline="0">
              <a:solidFill>
                <a:srgbClr val="FF0000"/>
              </a:solidFill>
            </a:rPr>
            <a:t>万円弱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価格改定による単価値上りのため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0</xdr:row>
      <xdr:rowOff>144780</xdr:rowOff>
    </xdr:from>
    <xdr:to>
      <xdr:col>16</xdr:col>
      <xdr:colOff>220158</xdr:colOff>
      <xdr:row>4</xdr:row>
      <xdr:rowOff>40118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35752B4-8CD1-B682-E105-1E38B365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144780"/>
          <a:ext cx="13651230" cy="809738"/>
        </a:xfrm>
        <a:prstGeom prst="rect">
          <a:avLst/>
        </a:prstGeom>
      </xdr:spPr>
    </xdr:pic>
    <xdr:clientData/>
  </xdr:twoCellAnchor>
  <xdr:twoCellAnchor>
    <xdr:from>
      <xdr:col>16</xdr:col>
      <xdr:colOff>776942</xdr:colOff>
      <xdr:row>3</xdr:row>
      <xdr:rowOff>226358</xdr:rowOff>
    </xdr:from>
    <xdr:to>
      <xdr:col>19</xdr:col>
      <xdr:colOff>651114</xdr:colOff>
      <xdr:row>11</xdr:row>
      <xdr:rowOff>29882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81EFC47-B7F9-463B-B19F-35B3DFA0F632}"/>
            </a:ext>
          </a:extLst>
        </xdr:cNvPr>
        <xdr:cNvSpPr txBox="1"/>
      </xdr:nvSpPr>
      <xdr:spPr>
        <a:xfrm>
          <a:off x="14545236" y="921123"/>
          <a:ext cx="2317054" cy="16562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予算ベース</a:t>
          </a:r>
          <a:br>
            <a:rPr kumimoji="1" lang="en-US" altLang="ja-JP" sz="1100">
              <a:solidFill>
                <a:srgbClr val="FF0000"/>
              </a:solidFill>
            </a:rPr>
          </a:br>
          <a:r>
            <a:rPr kumimoji="1" lang="ja-JP" altLang="en-US" sz="1100">
              <a:solidFill>
                <a:srgbClr val="FF0000"/>
              </a:solidFill>
            </a:rPr>
            <a:t>　→年間</a:t>
          </a:r>
          <a:r>
            <a:rPr kumimoji="1" lang="en-US" altLang="ja-JP" sz="1100">
              <a:solidFill>
                <a:srgbClr val="FF0000"/>
              </a:solidFill>
            </a:rPr>
            <a:t>3</a:t>
          </a:r>
          <a:r>
            <a:rPr kumimoji="1" lang="ja-JP" altLang="en-US" sz="1100">
              <a:solidFill>
                <a:srgbClr val="FF0000"/>
              </a:solidFill>
            </a:rPr>
            <a:t>万強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  <a:br>
            <a:rPr kumimoji="1" lang="en-US" altLang="ja-JP" sz="1100">
              <a:solidFill>
                <a:srgbClr val="FF0000"/>
              </a:solidFill>
            </a:rPr>
          </a:b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年予算と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年実績ベース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→年間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千円弱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理由</a:t>
          </a:r>
          <a:br>
            <a:rPr kumimoji="1" lang="en-US" altLang="ja-JP" sz="1100">
              <a:solidFill>
                <a:srgbClr val="FF0000"/>
              </a:solidFill>
            </a:rPr>
          </a:br>
          <a:r>
            <a:rPr kumimoji="1" lang="ja-JP" altLang="en-US" sz="1100">
              <a:solidFill>
                <a:srgbClr val="FF0000"/>
              </a:solidFill>
            </a:rPr>
            <a:t>　リセラー変更による価格見直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252933</xdr:colOff>
      <xdr:row>0</xdr:row>
      <xdr:rowOff>0</xdr:rowOff>
    </xdr:from>
    <xdr:to>
      <xdr:col>15</xdr:col>
      <xdr:colOff>631798</xdr:colOff>
      <xdr:row>4</xdr:row>
      <xdr:rowOff>151296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10753E-C185-40C1-2E0E-26CAFACC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147" y="0"/>
          <a:ext cx="9244853" cy="1058439"/>
        </a:xfrm>
        <a:prstGeom prst="rect">
          <a:avLst/>
        </a:prstGeom>
      </xdr:spPr>
    </xdr:pic>
    <xdr:clientData/>
  </xdr:twoCellAnchor>
  <xdr:twoCellAnchor>
    <xdr:from>
      <xdr:col>17</xdr:col>
      <xdr:colOff>226785</xdr:colOff>
      <xdr:row>1</xdr:row>
      <xdr:rowOff>45357</xdr:rowOff>
    </xdr:from>
    <xdr:to>
      <xdr:col>22</xdr:col>
      <xdr:colOff>243554</xdr:colOff>
      <xdr:row>9</xdr:row>
      <xdr:rowOff>199572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4F4B0D4-558B-4831-8D05-7172C71F0AE3}"/>
            </a:ext>
          </a:extLst>
        </xdr:cNvPr>
        <xdr:cNvSpPr txBox="1"/>
      </xdr:nvSpPr>
      <xdr:spPr>
        <a:xfrm>
          <a:off x="13044714" y="272143"/>
          <a:ext cx="3327840" cy="1968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年間約</a:t>
          </a:r>
          <a:r>
            <a:rPr kumimoji="1" lang="en-US" altLang="ja-JP" sz="1100" baseline="0">
              <a:solidFill>
                <a:srgbClr val="FF0000"/>
              </a:solidFill>
            </a:rPr>
            <a:t>6</a:t>
          </a:r>
          <a:r>
            <a:rPr kumimoji="1" lang="ja-JP" altLang="en-US" sz="1100" baseline="0">
              <a:solidFill>
                <a:srgbClr val="FF0000"/>
              </a:solidFill>
            </a:rPr>
            <a:t>万円弱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UP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価格改定による単価値上りのため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リセラー変更により年間約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万削減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21</xdr:col>
      <xdr:colOff>615334</xdr:colOff>
      <xdr:row>3</xdr:row>
      <xdr:rowOff>32485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DDF9D4-100B-13BA-E7C2-6EDFCEFF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0"/>
          <a:ext cx="13794125" cy="714475"/>
        </a:xfrm>
        <a:prstGeom prst="rect">
          <a:avLst/>
        </a:prstGeom>
      </xdr:spPr>
    </xdr:pic>
    <xdr:clientData/>
  </xdr:twoCellAnchor>
  <xdr:twoCellAnchor>
    <xdr:from>
      <xdr:col>15</xdr:col>
      <xdr:colOff>561975</xdr:colOff>
      <xdr:row>2</xdr:row>
      <xdr:rowOff>19050</xdr:rowOff>
    </xdr:from>
    <xdr:to>
      <xdr:col>20</xdr:col>
      <xdr:colOff>92515</xdr:colOff>
      <xdr:row>10</xdr:row>
      <xdr:rowOff>160992</xdr:rowOff>
    </xdr:to>
    <xdr:sp macro="" textlink="">
      <xdr:nvSpPr>
        <xdr:cNvPr id="5" name="テキスト ボックス 1">
          <a:extLst>
            <a:ext uri="{FF2B5EF4-FFF2-40B4-BE49-F238E27FC236}">
              <a16:creationId xmlns:a16="http://schemas.microsoft.com/office/drawing/2014/main" id="{FF1F2654-50CD-4AFE-A75E-DF0934CCF275}"/>
            </a:ext>
            <a:ext uri="{147F2762-F138-4A5C-976F-8EAC2B608ADB}">
              <a16:predDERef xmlns:a16="http://schemas.microsoft.com/office/drawing/2014/main" pred="{12DDF9D4-100B-13BA-E7C2-6EDFCEFFCB76}"/>
            </a:ext>
          </a:extLst>
        </xdr:cNvPr>
        <xdr:cNvSpPr txBox="1"/>
      </xdr:nvSpPr>
      <xdr:spPr>
        <a:xfrm>
          <a:off x="11734800" y="476250"/>
          <a:ext cx="3407215" cy="197074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年度とほぼ同額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ポイント：リセラー変更により若干の経費削減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0</xdr:row>
      <xdr:rowOff>167640</xdr:rowOff>
    </xdr:from>
    <xdr:to>
      <xdr:col>18</xdr:col>
      <xdr:colOff>605752</xdr:colOff>
      <xdr:row>3</xdr:row>
      <xdr:rowOff>66756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A4B3AFD-7555-5586-6556-751942AD9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167640"/>
          <a:ext cx="13374967" cy="58110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14</xdr:col>
      <xdr:colOff>335855</xdr:colOff>
      <xdr:row>8</xdr:row>
      <xdr:rowOff>152827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1C988F5-53DD-4B67-A371-1C3FDF825CB9}"/>
            </a:ext>
          </a:extLst>
        </xdr:cNvPr>
        <xdr:cNvSpPr txBox="1"/>
      </xdr:nvSpPr>
      <xdr:spPr>
        <a:xfrm>
          <a:off x="7918450" y="914400"/>
          <a:ext cx="2317055" cy="10672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年より減額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契約解約のため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45720</xdr:rowOff>
    </xdr:from>
    <xdr:to>
      <xdr:col>17</xdr:col>
      <xdr:colOff>523642</xdr:colOff>
      <xdr:row>4</xdr:row>
      <xdr:rowOff>103004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8ECA1E-3925-5CDF-B643-987301B5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45720"/>
          <a:ext cx="11989837" cy="965969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5</xdr:row>
      <xdr:rowOff>0</xdr:rowOff>
    </xdr:from>
    <xdr:to>
      <xdr:col>14</xdr:col>
      <xdr:colOff>996255</xdr:colOff>
      <xdr:row>9</xdr:row>
      <xdr:rowOff>152827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68A199E-B08E-4DCC-B932-03D35A6EEB94}"/>
            </a:ext>
          </a:extLst>
        </xdr:cNvPr>
        <xdr:cNvSpPr txBox="1"/>
      </xdr:nvSpPr>
      <xdr:spPr>
        <a:xfrm>
          <a:off x="8578850" y="1143000"/>
          <a:ext cx="2317055" cy="10672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年より減額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契約解約のため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0</xdr:rowOff>
    </xdr:from>
    <xdr:to>
      <xdr:col>16</xdr:col>
      <xdr:colOff>996255</xdr:colOff>
      <xdr:row>9</xdr:row>
      <xdr:rowOff>152827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1249C6B-353D-4D9E-820C-14A2D0D2DCCA}"/>
            </a:ext>
          </a:extLst>
        </xdr:cNvPr>
        <xdr:cNvSpPr txBox="1"/>
      </xdr:nvSpPr>
      <xdr:spPr>
        <a:xfrm>
          <a:off x="8578850" y="1143000"/>
          <a:ext cx="2317055" cy="10672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そもそも使ってる？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444500</xdr:colOff>
      <xdr:row>0</xdr:row>
      <xdr:rowOff>0</xdr:rowOff>
    </xdr:from>
    <xdr:to>
      <xdr:col>12</xdr:col>
      <xdr:colOff>541473</xdr:colOff>
      <xdr:row>4</xdr:row>
      <xdr:rowOff>153111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33227BE-9411-8DFB-A4EB-C61DB5D2F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0"/>
          <a:ext cx="8701223" cy="106751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597646</xdr:colOff>
      <xdr:row>1</xdr:row>
      <xdr:rowOff>82177</xdr:rowOff>
    </xdr:from>
    <xdr:to>
      <xdr:col>19</xdr:col>
      <xdr:colOff>485587</xdr:colOff>
      <xdr:row>10</xdr:row>
      <xdr:rowOff>171824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68152A7-D885-43BC-986F-4CAA0C99B389}"/>
            </a:ext>
          </a:extLst>
        </xdr:cNvPr>
        <xdr:cNvSpPr txBox="1"/>
      </xdr:nvSpPr>
      <xdr:spPr>
        <a:xfrm>
          <a:off x="11071411" y="313765"/>
          <a:ext cx="3175000" cy="21739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年度の実績との比較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→年間約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UP</a:t>
          </a:r>
          <a:r>
            <a:rPr kumimoji="1" lang="ja-JP" altLang="en-US" sz="1100">
              <a:solidFill>
                <a:srgbClr val="FF0000"/>
              </a:solidFill>
            </a:rPr>
            <a:t>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価格改定の影響で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契約更新月で解約するか、ライセンス数を減らすか・・・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430893</xdr:colOff>
      <xdr:row>1</xdr:row>
      <xdr:rowOff>173868</xdr:rowOff>
    </xdr:from>
    <xdr:to>
      <xdr:col>13</xdr:col>
      <xdr:colOff>287990</xdr:colOff>
      <xdr:row>6</xdr:row>
      <xdr:rowOff>96495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BCC7D5-21D7-4339-9098-F057C752E926}"/>
            </a:ext>
          </a:extLst>
        </xdr:cNvPr>
        <xdr:cNvSpPr txBox="1"/>
      </xdr:nvSpPr>
      <xdr:spPr>
        <a:xfrm>
          <a:off x="9116786" y="400654"/>
          <a:ext cx="2306383" cy="105655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年と同額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Sansan</a:t>
          </a:r>
          <a:r>
            <a:rPr kumimoji="1" lang="ja-JP" altLang="en-US" sz="1100">
              <a:solidFill>
                <a:srgbClr val="FF0000"/>
              </a:solidFill>
            </a:rPr>
            <a:t>から見積取得済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20</xdr:col>
      <xdr:colOff>319740</xdr:colOff>
      <xdr:row>5</xdr:row>
      <xdr:rowOff>149412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3718D45-A9B1-4699-9B8E-7DB8E48F90A5}"/>
            </a:ext>
          </a:extLst>
        </xdr:cNvPr>
        <xdr:cNvSpPr txBox="1"/>
      </xdr:nvSpPr>
      <xdr:spPr>
        <a:xfrm>
          <a:off x="15711714" y="226786"/>
          <a:ext cx="2306383" cy="105655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年と同額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単価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  <a:r>
            <a:rPr kumimoji="1" lang="ja-JP" altLang="en-US" sz="1100">
              <a:solidFill>
                <a:srgbClr val="FF0000"/>
              </a:solidFill>
            </a:rPr>
            <a:t>と増員分を考慮したため</a:t>
          </a:r>
          <a:r>
            <a:rPr kumimoji="1" lang="en-US" altLang="ja-JP" sz="1100">
              <a:solidFill>
                <a:srgbClr val="FF0000"/>
              </a:solidFill>
            </a:rPr>
            <a:t>15</a:t>
          </a:r>
          <a:r>
            <a:rPr kumimoji="1" lang="ja-JP" altLang="en-US" sz="1100">
              <a:solidFill>
                <a:srgbClr val="FF0000"/>
              </a:solidFill>
            </a:rPr>
            <a:t>万ほど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削除可能な</a:t>
          </a:r>
          <a:r>
            <a:rPr kumimoji="1" lang="en-US" altLang="ja-JP" sz="1100">
              <a:solidFill>
                <a:srgbClr val="FF0000"/>
              </a:solidFill>
            </a:rPr>
            <a:t>PC</a:t>
          </a:r>
          <a:r>
            <a:rPr kumimoji="1" lang="ja-JP" altLang="en-US" sz="1100">
              <a:solidFill>
                <a:srgbClr val="FF0000"/>
              </a:solidFill>
            </a:rPr>
            <a:t>はある？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231588</xdr:colOff>
      <xdr:row>6</xdr:row>
      <xdr:rowOff>179294</xdr:rowOff>
    </xdr:from>
    <xdr:to>
      <xdr:col>17</xdr:col>
      <xdr:colOff>505971</xdr:colOff>
      <xdr:row>14</xdr:row>
      <xdr:rowOff>104589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18FC8A2-DEEB-4F53-8BD9-A2EE3683D7F0}"/>
            </a:ext>
          </a:extLst>
        </xdr:cNvPr>
        <xdr:cNvSpPr txBox="1"/>
      </xdr:nvSpPr>
      <xdr:spPr>
        <a:xfrm>
          <a:off x="16711706" y="1568823"/>
          <a:ext cx="2306383" cy="17780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年と同額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約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万ほど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r>
            <a:rPr kumimoji="1" lang="ja-JP" altLang="en-US" sz="1100">
              <a:solidFill>
                <a:srgbClr val="FF0000"/>
              </a:solidFill>
            </a:rPr>
            <a:t>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ライセンス数削減と価格見直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増やす契約はある？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229015</xdr:rowOff>
    </xdr:from>
    <xdr:to>
      <xdr:col>18</xdr:col>
      <xdr:colOff>538379</xdr:colOff>
      <xdr:row>16</xdr:row>
      <xdr:rowOff>10409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AD22D3-4E3A-494C-8CCC-3D1864A0D7B9}"/>
            </a:ext>
          </a:extLst>
        </xdr:cNvPr>
        <xdr:cNvSpPr txBox="1"/>
      </xdr:nvSpPr>
      <xdr:spPr>
        <a:xfrm>
          <a:off x="14886066" y="687048"/>
          <a:ext cx="3494772" cy="29876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（</a:t>
          </a:r>
          <a:r>
            <a:rPr kumimoji="1" lang="en-US" altLang="ja-JP" sz="1100">
              <a:solidFill>
                <a:srgbClr val="FF0000"/>
              </a:solidFill>
            </a:rPr>
            <a:t>TS</a:t>
          </a:r>
          <a:r>
            <a:rPr kumimoji="1" lang="ja-JP" altLang="en-US" sz="1100">
              <a:solidFill>
                <a:srgbClr val="FF0000"/>
              </a:solidFill>
            </a:rPr>
            <a:t>利用ライセンス）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→年間約</a:t>
          </a:r>
          <a:r>
            <a:rPr kumimoji="1" lang="en-US" altLang="ja-JP" sz="1100">
              <a:solidFill>
                <a:srgbClr val="FF0000"/>
              </a:solidFill>
            </a:rPr>
            <a:t>21</a:t>
          </a:r>
          <a:r>
            <a:rPr kumimoji="1" lang="ja-JP" altLang="en-US" sz="1100">
              <a:solidFill>
                <a:srgbClr val="FF0000"/>
              </a:solidFill>
            </a:rPr>
            <a:t>万弱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→ライセンス数減少のため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TS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運用サポート費用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前年同額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21</xdr:col>
      <xdr:colOff>183701</xdr:colOff>
      <xdr:row>11</xdr:row>
      <xdr:rowOff>218260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CE21F1-C45F-4D0B-9001-3EE6C1C30696}"/>
            </a:ext>
          </a:extLst>
        </xdr:cNvPr>
        <xdr:cNvSpPr txBox="1"/>
      </xdr:nvSpPr>
      <xdr:spPr>
        <a:xfrm>
          <a:off x="16727714" y="453571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昨年度ほぼ同額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101600</xdr:rowOff>
    </xdr:from>
    <xdr:to>
      <xdr:col>5</xdr:col>
      <xdr:colOff>1268833</xdr:colOff>
      <xdr:row>30</xdr:row>
      <xdr:rowOff>73061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0783053-B925-CAA5-9FF3-58363AB59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101600"/>
          <a:ext cx="7871926" cy="6829461"/>
        </a:xfrm>
        <a:prstGeom prst="rect">
          <a:avLst/>
        </a:prstGeom>
      </xdr:spPr>
    </xdr:pic>
    <xdr:clientData/>
  </xdr:twoCellAnchor>
  <xdr:twoCellAnchor>
    <xdr:from>
      <xdr:col>18</xdr:col>
      <xdr:colOff>219362</xdr:colOff>
      <xdr:row>74</xdr:row>
      <xdr:rowOff>69274</xdr:rowOff>
    </xdr:from>
    <xdr:to>
      <xdr:col>23</xdr:col>
      <xdr:colOff>146590</xdr:colOff>
      <xdr:row>87</xdr:row>
      <xdr:rowOff>27761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836839B-1C05-462A-9714-DAF95397F2CE}"/>
            </a:ext>
          </a:extLst>
        </xdr:cNvPr>
        <xdr:cNvSpPr txBox="1"/>
      </xdr:nvSpPr>
      <xdr:spPr>
        <a:xfrm>
          <a:off x="19523362" y="16787092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年間約</a:t>
          </a:r>
          <a:r>
            <a:rPr kumimoji="1" lang="en-US" altLang="ja-JP" sz="1100" baseline="0">
              <a:solidFill>
                <a:srgbClr val="FF0000"/>
              </a:solidFill>
            </a:rPr>
            <a:t>800</a:t>
          </a:r>
          <a:r>
            <a:rPr kumimoji="1" lang="ja-JP" altLang="en-US" sz="1100" baseline="0">
              <a:solidFill>
                <a:srgbClr val="FF0000"/>
              </a:solidFill>
            </a:rPr>
            <a:t>万</a:t>
          </a:r>
          <a:r>
            <a:rPr kumimoji="1" lang="en-US" altLang="ja-JP" sz="1100" baseline="0">
              <a:solidFill>
                <a:srgbClr val="FF0000"/>
              </a:solidFill>
            </a:rPr>
            <a:t>Down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</a:t>
          </a:r>
          <a:endParaRPr kumimoji="1" lang="en-US" altLang="ja-JP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Down</a:t>
          </a:r>
          <a:r>
            <a:rPr kumimoji="1" lang="ja-JP" altLang="en-US" sz="1100" baseline="0">
              <a:solidFill>
                <a:srgbClr val="FF0000"/>
              </a:solidFill>
            </a:rPr>
            <a:t>理由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ライセンス最適化の影響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17</xdr:col>
      <xdr:colOff>138344</xdr:colOff>
      <xdr:row>8</xdr:row>
      <xdr:rowOff>218260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9E46957-09C8-471D-8796-146C35AFFFF9}"/>
            </a:ext>
          </a:extLst>
        </xdr:cNvPr>
        <xdr:cNvSpPr txBox="1"/>
      </xdr:nvSpPr>
      <xdr:spPr>
        <a:xfrm>
          <a:off x="13344071" y="226786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14</xdr:col>
      <xdr:colOff>207714</xdr:colOff>
      <xdr:row>8</xdr:row>
      <xdr:rowOff>184642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52DC003-3737-42EB-A696-3365E7E2113E}"/>
            </a:ext>
          </a:extLst>
        </xdr:cNvPr>
        <xdr:cNvSpPr txBox="1"/>
      </xdr:nvSpPr>
      <xdr:spPr>
        <a:xfrm>
          <a:off x="8695765" y="231588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※2025</a:t>
          </a:r>
          <a:r>
            <a:rPr kumimoji="1" lang="ja-JP" altLang="en-US" sz="1100">
              <a:solidFill>
                <a:srgbClr val="FF0000"/>
              </a:solidFill>
            </a:rPr>
            <a:t>年度の実績はなし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201705</xdr:colOff>
      <xdr:row>3</xdr:row>
      <xdr:rowOff>44824</xdr:rowOff>
    </xdr:from>
    <xdr:to>
      <xdr:col>17</xdr:col>
      <xdr:colOff>469184</xdr:colOff>
      <xdr:row>10</xdr:row>
      <xdr:rowOff>229467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6F0D395-0385-4F60-903E-D2883B4E3875}"/>
            </a:ext>
          </a:extLst>
        </xdr:cNvPr>
        <xdr:cNvSpPr txBox="1"/>
      </xdr:nvSpPr>
      <xdr:spPr>
        <a:xfrm>
          <a:off x="14082058" y="739589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ディスク容量追加分含めて予算化しますか？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月額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万→月額</a:t>
          </a:r>
          <a:r>
            <a:rPr kumimoji="1" lang="en-US" altLang="ja-JP" sz="1100">
              <a:solidFill>
                <a:srgbClr val="FF0000"/>
              </a:solidFill>
            </a:rPr>
            <a:t>11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になる認識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433294</xdr:colOff>
      <xdr:row>0</xdr:row>
      <xdr:rowOff>0</xdr:rowOff>
    </xdr:from>
    <xdr:to>
      <xdr:col>5</xdr:col>
      <xdr:colOff>1168382</xdr:colOff>
      <xdr:row>11</xdr:row>
      <xdr:rowOff>220865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C0336BE-4662-7495-E850-6F7FC690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294" y="0"/>
          <a:ext cx="5419147" cy="276833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18</xdr:col>
      <xdr:colOff>394479</xdr:colOff>
      <xdr:row>8</xdr:row>
      <xdr:rowOff>184642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B09379C-FDF1-46D4-839F-9B0CFE0D386A}"/>
            </a:ext>
          </a:extLst>
        </xdr:cNvPr>
        <xdr:cNvSpPr txBox="1"/>
      </xdr:nvSpPr>
      <xdr:spPr>
        <a:xfrm>
          <a:off x="14664765" y="231588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17</xdr:col>
      <xdr:colOff>267479</xdr:colOff>
      <xdr:row>8</xdr:row>
      <xdr:rowOff>184642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6875D34-FD4F-4E9D-B4E2-8C86BAB0AF41}"/>
            </a:ext>
          </a:extLst>
        </xdr:cNvPr>
        <xdr:cNvSpPr txBox="1"/>
      </xdr:nvSpPr>
      <xdr:spPr>
        <a:xfrm>
          <a:off x="13880353" y="231588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317500</xdr:colOff>
      <xdr:row>2</xdr:row>
      <xdr:rowOff>12700</xdr:rowOff>
    </xdr:from>
    <xdr:to>
      <xdr:col>17</xdr:col>
      <xdr:colOff>573773</xdr:colOff>
      <xdr:row>9</xdr:row>
      <xdr:rowOff>218260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1B1DFC0-341C-428F-A51C-FA08E597C5ED}"/>
            </a:ext>
          </a:extLst>
        </xdr:cNvPr>
        <xdr:cNvSpPr txBox="1"/>
      </xdr:nvSpPr>
      <xdr:spPr>
        <a:xfrm>
          <a:off x="14224000" y="469900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17</xdr:col>
      <xdr:colOff>267479</xdr:colOff>
      <xdr:row>9</xdr:row>
      <xdr:rowOff>184642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07D9425-08B1-4A68-A182-676B86879D5A}"/>
            </a:ext>
          </a:extLst>
        </xdr:cNvPr>
        <xdr:cNvSpPr txBox="1"/>
      </xdr:nvSpPr>
      <xdr:spPr>
        <a:xfrm>
          <a:off x="13880353" y="463176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年度と同額で予算化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18</xdr:col>
      <xdr:colOff>394479</xdr:colOff>
      <xdr:row>9</xdr:row>
      <xdr:rowOff>132348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9D4DF02-718A-4D10-B9CF-FEA7CE6A4089}"/>
            </a:ext>
          </a:extLst>
        </xdr:cNvPr>
        <xdr:cNvSpPr txBox="1"/>
      </xdr:nvSpPr>
      <xdr:spPr>
        <a:xfrm>
          <a:off x="14664765" y="463176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年度より約</a:t>
          </a:r>
          <a:r>
            <a:rPr kumimoji="1" lang="en-US" altLang="ja-JP" sz="1100">
              <a:solidFill>
                <a:srgbClr val="FF0000"/>
              </a:solidFill>
            </a:rPr>
            <a:t>65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</a:p>
        <a:p>
          <a:r>
            <a:rPr kumimoji="1" lang="en-US" altLang="ja-JP" sz="1100">
              <a:solidFill>
                <a:srgbClr val="FF0000"/>
              </a:solidFill>
            </a:rPr>
            <a:t>UP</a:t>
          </a:r>
          <a:r>
            <a:rPr kumimoji="1" lang="ja-JP" altLang="en-US" sz="1100">
              <a:solidFill>
                <a:srgbClr val="FF0000"/>
              </a:solidFill>
            </a:rPr>
            <a:t>の理由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4</a:t>
          </a:r>
          <a:r>
            <a:rPr kumimoji="1" lang="ja-JP" altLang="en-US" sz="1100">
              <a:solidFill>
                <a:srgbClr val="FF0000"/>
              </a:solidFill>
            </a:rPr>
            <a:t>月に価格改定があるため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2449818</xdr:colOff>
      <xdr:row>3</xdr:row>
      <xdr:rowOff>30843</xdr:rowOff>
    </xdr:from>
    <xdr:to>
      <xdr:col>21</xdr:col>
      <xdr:colOff>648585</xdr:colOff>
      <xdr:row>21</xdr:row>
      <xdr:rowOff>123483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7FBE9C8-0AFF-92C8-8471-1D9FC32E0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9889" y="711200"/>
          <a:ext cx="10798982" cy="4174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206829</xdr:colOff>
      <xdr:row>3</xdr:row>
      <xdr:rowOff>185057</xdr:rowOff>
    </xdr:from>
    <xdr:to>
      <xdr:col>2</xdr:col>
      <xdr:colOff>1143000</xdr:colOff>
      <xdr:row>16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D33B344-AC09-9E53-0AFC-4A19E15F1BE9}"/>
            </a:ext>
          </a:extLst>
        </xdr:cNvPr>
        <xdr:cNvSpPr txBox="1"/>
      </xdr:nvSpPr>
      <xdr:spPr>
        <a:xfrm>
          <a:off x="206829" y="870857"/>
          <a:ext cx="3015342" cy="27867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rgbClr val="FF0000"/>
              </a:solidFill>
            </a:rPr>
            <a:t>藤田コメント</a:t>
          </a:r>
          <a:endParaRPr kumimoji="1" lang="en-US" altLang="ja-JP" sz="1200">
            <a:solidFill>
              <a:srgbClr val="FF0000"/>
            </a:solidFill>
          </a:endParaRPr>
        </a:p>
        <a:p>
          <a:endParaRPr kumimoji="1" lang="en-US" altLang="ja-JP" sz="1200">
            <a:solidFill>
              <a:srgbClr val="FF0000"/>
            </a:solidFill>
          </a:endParaRPr>
        </a:p>
        <a:p>
          <a:r>
            <a:rPr kumimoji="1" lang="en-US" altLang="ja-JP" sz="1200">
              <a:solidFill>
                <a:srgbClr val="FF0000"/>
              </a:solidFill>
            </a:rPr>
            <a:t>PKI</a:t>
          </a:r>
          <a:r>
            <a:rPr kumimoji="1" lang="ja-JP" altLang="en-US" sz="1200">
              <a:solidFill>
                <a:srgbClr val="FF0000"/>
              </a:solidFill>
            </a:rPr>
            <a:t>証明書による</a:t>
          </a:r>
          <a:r>
            <a:rPr kumimoji="1" lang="en-US" altLang="ja-JP" sz="1200">
              <a:solidFill>
                <a:srgbClr val="FF0000"/>
              </a:solidFill>
            </a:rPr>
            <a:t>VPN</a:t>
          </a:r>
          <a:r>
            <a:rPr kumimoji="1" lang="ja-JP" altLang="en-US" sz="1200">
              <a:solidFill>
                <a:srgbClr val="FF0000"/>
              </a:solidFill>
            </a:rPr>
            <a:t>の構成を廃止する場合は、セキュアアクセス</a:t>
          </a:r>
          <a:r>
            <a:rPr kumimoji="1" lang="en-US" altLang="ja-JP" sz="1200">
              <a:solidFill>
                <a:srgbClr val="FF0000"/>
              </a:solidFill>
            </a:rPr>
            <a:t>3</a:t>
          </a:r>
          <a:r>
            <a:rPr kumimoji="1" lang="ja-JP" altLang="en-US" sz="1200">
              <a:solidFill>
                <a:srgbClr val="FF0000"/>
              </a:solidFill>
            </a:rPr>
            <a:t>の回線（</a:t>
          </a:r>
          <a:r>
            <a:rPr kumimoji="1" lang="en-US" altLang="ja-JP" sz="1200">
              <a:solidFill>
                <a:srgbClr val="FF0000"/>
              </a:solidFill>
            </a:rPr>
            <a:t>FMI</a:t>
          </a:r>
          <a:r>
            <a:rPr kumimoji="1" lang="ja-JP" altLang="en-US" sz="1200">
              <a:solidFill>
                <a:srgbClr val="FF0000"/>
              </a:solidFill>
            </a:rPr>
            <a:t>内からインターネットへ抜ける回線）の帯域を拡張する必要があるかもしれません。</a:t>
          </a:r>
          <a:endParaRPr kumimoji="1" lang="en-US" altLang="ja-JP" sz="1200">
            <a:solidFill>
              <a:srgbClr val="FF0000"/>
            </a:solidFill>
          </a:endParaRPr>
        </a:p>
        <a:p>
          <a:r>
            <a:rPr kumimoji="1" lang="ja-JP" altLang="en-US" sz="1200">
              <a:solidFill>
                <a:srgbClr val="FF0000"/>
              </a:solidFill>
            </a:rPr>
            <a:t>このシートはあくまでも月額の費用なので、回線拡張料金をプロジェクトの費用で見込んで頂けますか？</a:t>
          </a:r>
          <a:endParaRPr kumimoji="1" lang="en-US" altLang="ja-JP" sz="12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526142</xdr:colOff>
      <xdr:row>21</xdr:row>
      <xdr:rowOff>145143</xdr:rowOff>
    </xdr:from>
    <xdr:to>
      <xdr:col>16</xdr:col>
      <xdr:colOff>646344</xdr:colOff>
      <xdr:row>29</xdr:row>
      <xdr:rowOff>136617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4AF0287-5E34-4F0B-BCC1-5DE94D918CC9}"/>
            </a:ext>
          </a:extLst>
        </xdr:cNvPr>
        <xdr:cNvSpPr txBox="1"/>
      </xdr:nvSpPr>
      <xdr:spPr>
        <a:xfrm>
          <a:off x="15212785" y="4907643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年度より約</a:t>
          </a:r>
          <a:r>
            <a:rPr kumimoji="1" lang="en-US" altLang="ja-JP" sz="1100">
              <a:solidFill>
                <a:srgbClr val="FF0000"/>
              </a:solidFill>
            </a:rPr>
            <a:t>45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UP</a:t>
          </a:r>
        </a:p>
        <a:p>
          <a:r>
            <a:rPr kumimoji="1" lang="en-US" altLang="ja-JP" sz="1100">
              <a:solidFill>
                <a:srgbClr val="FF0000"/>
              </a:solidFill>
            </a:rPr>
            <a:t>UP</a:t>
          </a:r>
          <a:r>
            <a:rPr kumimoji="1" lang="ja-JP" altLang="en-US" sz="1100">
              <a:solidFill>
                <a:srgbClr val="FF0000"/>
              </a:solidFill>
            </a:rPr>
            <a:t>の理由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4</a:t>
          </a:r>
          <a:r>
            <a:rPr kumimoji="1" lang="ja-JP" altLang="en-US" sz="1100">
              <a:solidFill>
                <a:srgbClr val="FF0000"/>
              </a:solidFill>
            </a:rPr>
            <a:t>月に価格改定があるため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194236</xdr:rowOff>
    </xdr:from>
    <xdr:to>
      <xdr:col>5</xdr:col>
      <xdr:colOff>903568</xdr:colOff>
      <xdr:row>5</xdr:row>
      <xdr:rowOff>10273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D73CEF4-404E-A8A5-633D-99B039B43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236"/>
          <a:ext cx="4474509" cy="97397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37353</xdr:colOff>
      <xdr:row>6</xdr:row>
      <xdr:rowOff>59764</xdr:rowOff>
    </xdr:from>
    <xdr:to>
      <xdr:col>18</xdr:col>
      <xdr:colOff>842715</xdr:colOff>
      <xdr:row>18</xdr:row>
      <xdr:rowOff>164352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8D0E47D-0A65-40D0-8B2B-446628B9C223}"/>
            </a:ext>
          </a:extLst>
        </xdr:cNvPr>
        <xdr:cNvSpPr txBox="1"/>
      </xdr:nvSpPr>
      <xdr:spPr>
        <a:xfrm>
          <a:off x="14007353" y="1449293"/>
          <a:ext cx="3494774" cy="265205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年度より約</a:t>
          </a:r>
          <a:r>
            <a:rPr kumimoji="1" lang="en-US" altLang="ja-JP" sz="1100">
              <a:solidFill>
                <a:srgbClr val="FF0000"/>
              </a:solidFill>
            </a:rPr>
            <a:t>140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の理由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月契約変更の影響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その他（</a:t>
          </a:r>
          <a:r>
            <a:rPr kumimoji="1" lang="en-US" altLang="ja-JP" sz="1100">
              <a:solidFill>
                <a:srgbClr val="FF0000"/>
              </a:solidFill>
            </a:rPr>
            <a:t>11/20</a:t>
          </a:r>
          <a:r>
            <a:rPr kumimoji="1" lang="ja-JP" altLang="en-US" sz="1100">
              <a:solidFill>
                <a:srgbClr val="FF0000"/>
              </a:solidFill>
            </a:rPr>
            <a:t>時点）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残：</a:t>
          </a:r>
          <a:r>
            <a:rPr kumimoji="1" lang="en-US" altLang="ja-JP" sz="1100">
              <a:solidFill>
                <a:srgbClr val="FF0000"/>
              </a:solidFill>
            </a:rPr>
            <a:t>31</a:t>
          </a:r>
        </a:p>
        <a:p>
          <a:r>
            <a:rPr kumimoji="1" lang="ja-JP" altLang="en-US" sz="1100">
              <a:solidFill>
                <a:srgbClr val="FF0000"/>
              </a:solidFill>
            </a:rPr>
            <a:t>のため新規調達なしで計画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19</xdr:col>
      <xdr:colOff>200244</xdr:colOff>
      <xdr:row>13</xdr:row>
      <xdr:rowOff>37353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2208E41-6FDE-4DB8-AE3F-7CB7CF7339EC}"/>
            </a:ext>
          </a:extLst>
        </xdr:cNvPr>
        <xdr:cNvSpPr txBox="1"/>
      </xdr:nvSpPr>
      <xdr:spPr>
        <a:xfrm>
          <a:off x="13387294" y="231588"/>
          <a:ext cx="3494774" cy="28836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年度より約</a:t>
          </a:r>
          <a:r>
            <a:rPr kumimoji="1" lang="en-US" altLang="ja-JP" sz="1100">
              <a:solidFill>
                <a:srgbClr val="FF0000"/>
              </a:solidFill>
            </a:rPr>
            <a:t>160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の理由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月契約変更の影響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その他（</a:t>
          </a:r>
          <a:r>
            <a:rPr kumimoji="1" lang="en-US" altLang="ja-JP" sz="1100">
              <a:solidFill>
                <a:srgbClr val="FF0000"/>
              </a:solidFill>
            </a:rPr>
            <a:t>11/20</a:t>
          </a:r>
          <a:r>
            <a:rPr kumimoji="1" lang="ja-JP" altLang="en-US" sz="1100">
              <a:solidFill>
                <a:srgbClr val="FF0000"/>
              </a:solidFill>
            </a:rPr>
            <a:t>時点）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残：</a:t>
          </a:r>
          <a:r>
            <a:rPr kumimoji="1" lang="en-US" altLang="ja-JP" sz="1100">
              <a:solidFill>
                <a:srgbClr val="FF0000"/>
              </a:solidFill>
            </a:rPr>
            <a:t>21</a:t>
          </a:r>
        </a:p>
        <a:p>
          <a:r>
            <a:rPr kumimoji="1" lang="ja-JP" altLang="en-US" sz="1100">
              <a:solidFill>
                <a:srgbClr val="FF0000"/>
              </a:solidFill>
            </a:rPr>
            <a:t>のため新規調達なしで計画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0</xdr:rowOff>
    </xdr:from>
    <xdr:to>
      <xdr:col>20</xdr:col>
      <xdr:colOff>222656</xdr:colOff>
      <xdr:row>20</xdr:row>
      <xdr:rowOff>162219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A140F4A-83F9-429C-B529-933BCF6F74FB}"/>
            </a:ext>
          </a:extLst>
        </xdr:cNvPr>
        <xdr:cNvSpPr txBox="1"/>
      </xdr:nvSpPr>
      <xdr:spPr>
        <a:xfrm>
          <a:off x="15067643" y="226786"/>
          <a:ext cx="3651656" cy="28836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月の契約情報を反映した月額費用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473363</xdr:colOff>
      <xdr:row>7</xdr:row>
      <xdr:rowOff>46182</xdr:rowOff>
    </xdr:from>
    <xdr:to>
      <xdr:col>18</xdr:col>
      <xdr:colOff>77318</xdr:colOff>
      <xdr:row>15</xdr:row>
      <xdr:rowOff>4670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00C039C-AA23-4B9C-B1A4-464ADDC3F0D4}"/>
            </a:ext>
          </a:extLst>
        </xdr:cNvPr>
        <xdr:cNvSpPr txBox="1"/>
      </xdr:nvSpPr>
      <xdr:spPr>
        <a:xfrm>
          <a:off x="17710727" y="1431637"/>
          <a:ext cx="3494773" cy="180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年度より約</a:t>
          </a:r>
          <a:r>
            <a:rPr kumimoji="1" lang="en-US" altLang="ja-JP" sz="1100">
              <a:solidFill>
                <a:srgbClr val="FF0000"/>
              </a:solidFill>
            </a:rPr>
            <a:t>54</a:t>
          </a:r>
          <a:r>
            <a:rPr kumimoji="1" lang="ja-JP" altLang="en-US" sz="1100">
              <a:solidFill>
                <a:srgbClr val="FF0000"/>
              </a:solidFill>
            </a:rPr>
            <a:t>万</a:t>
          </a:r>
          <a:r>
            <a:rPr kumimoji="1" lang="en-US" altLang="ja-JP" sz="1100">
              <a:solidFill>
                <a:srgbClr val="FF0000"/>
              </a:solidFill>
            </a:rPr>
            <a:t>Down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の理由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年通信料見直しの影響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</xdr:row>
      <xdr:rowOff>12701</xdr:rowOff>
    </xdr:from>
    <xdr:to>
      <xdr:col>17</xdr:col>
      <xdr:colOff>611522</xdr:colOff>
      <xdr:row>3</xdr:row>
      <xdr:rowOff>225183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8912B-E73B-333E-6957-708778D9C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241301"/>
          <a:ext cx="12911472" cy="669682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581078</xdr:colOff>
      <xdr:row>10</xdr:row>
      <xdr:rowOff>143997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E28CA6C-F913-4EEB-A1D3-200A9380E25E}"/>
            </a:ext>
          </a:extLst>
        </xdr:cNvPr>
        <xdr:cNvSpPr txBox="1"/>
      </xdr:nvSpPr>
      <xdr:spPr>
        <a:xfrm>
          <a:off x="9239250" y="1143000"/>
          <a:ext cx="2371778" cy="12869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年の予算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価格改定により若干値上</a:t>
          </a:r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244928</xdr:colOff>
      <xdr:row>0</xdr:row>
      <xdr:rowOff>199571</xdr:rowOff>
    </xdr:from>
    <xdr:to>
      <xdr:col>17</xdr:col>
      <xdr:colOff>392139</xdr:colOff>
      <xdr:row>8</xdr:row>
      <xdr:rowOff>175024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D1DA867-CC11-4AD9-B20D-54198C667CC7}"/>
            </a:ext>
          </a:extLst>
        </xdr:cNvPr>
        <xdr:cNvSpPr txBox="1"/>
      </xdr:nvSpPr>
      <xdr:spPr>
        <a:xfrm>
          <a:off x="12609285" y="199571"/>
          <a:ext cx="2678140" cy="184416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1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同額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※Win2019</a:t>
          </a:r>
          <a:r>
            <a:rPr kumimoji="1" lang="ja-JP" altLang="en-US" sz="1100" baseline="0">
              <a:solidFill>
                <a:srgbClr val="FF0000"/>
              </a:solidFill>
            </a:rPr>
            <a:t>構築対応に伴う</a:t>
          </a:r>
          <a:r>
            <a:rPr kumimoji="1" lang="en-US" altLang="ja-JP" sz="1100" baseline="0">
              <a:solidFill>
                <a:srgbClr val="FF0000"/>
              </a:solidFill>
            </a:rPr>
            <a:t>Azure</a:t>
          </a:r>
          <a:r>
            <a:rPr kumimoji="1" lang="ja-JP" altLang="en-US" sz="1100" baseline="0">
              <a:solidFill>
                <a:srgbClr val="FF0000"/>
              </a:solidFill>
            </a:rPr>
            <a:t>の費用は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en-US" altLang="ja-JP" sz="1100" baseline="0">
              <a:solidFill>
                <a:srgbClr val="FF0000"/>
              </a:solidFill>
            </a:rPr>
            <a:t>PJ</a:t>
          </a:r>
          <a:r>
            <a:rPr kumimoji="1" lang="ja-JP" altLang="en-US" sz="1100" baseline="0">
              <a:solidFill>
                <a:srgbClr val="FF0000"/>
              </a:solidFill>
            </a:rPr>
            <a:t>で予算化</a:t>
          </a:r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776942</xdr:colOff>
      <xdr:row>1</xdr:row>
      <xdr:rowOff>22413</xdr:rowOff>
    </xdr:from>
    <xdr:to>
      <xdr:col>18</xdr:col>
      <xdr:colOff>26082</xdr:colOff>
      <xdr:row>9</xdr:row>
      <xdr:rowOff>52295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98E7503-2F6D-4616-B0E5-BB6A1B272003}"/>
            </a:ext>
          </a:extLst>
        </xdr:cNvPr>
        <xdr:cNvSpPr txBox="1"/>
      </xdr:nvSpPr>
      <xdr:spPr>
        <a:xfrm>
          <a:off x="13432118" y="254001"/>
          <a:ext cx="2685611" cy="188258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年実績との比較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   年間</a:t>
          </a:r>
          <a:r>
            <a:rPr kumimoji="1" lang="en-US" altLang="ja-JP" sz="1100" baseline="0">
              <a:solidFill>
                <a:srgbClr val="FF0000"/>
              </a:solidFill>
            </a:rPr>
            <a:t>67</a:t>
          </a:r>
          <a:r>
            <a:rPr kumimoji="1" lang="ja-JP" altLang="en-US" sz="1100" baseline="0">
              <a:solidFill>
                <a:srgbClr val="FF0000"/>
              </a:solidFill>
            </a:rPr>
            <a:t>万弱</a:t>
          </a:r>
          <a:r>
            <a:rPr kumimoji="1" lang="en-US" altLang="ja-JP" sz="1100" baseline="0">
              <a:solidFill>
                <a:srgbClr val="FF0000"/>
              </a:solidFill>
            </a:rPr>
            <a:t>UP</a:t>
          </a:r>
        </a:p>
        <a:p>
          <a:r>
            <a:rPr kumimoji="1" lang="ja-JP" altLang="en-US" sz="1100" baseline="0">
              <a:solidFill>
                <a:srgbClr val="FF0000"/>
              </a:solidFill>
            </a:rPr>
            <a:t>→</a:t>
          </a:r>
          <a:r>
            <a:rPr kumimoji="1" lang="en-US" altLang="ja-JP" sz="1100" baseline="0">
              <a:solidFill>
                <a:srgbClr val="FF0000"/>
              </a:solidFill>
            </a:rPr>
            <a:t>2025</a:t>
          </a:r>
          <a:r>
            <a:rPr kumimoji="1" lang="ja-JP" altLang="en-US" sz="1100" baseline="0">
              <a:solidFill>
                <a:srgbClr val="FF0000"/>
              </a:solidFill>
            </a:rPr>
            <a:t>年予算との比較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同額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en-US" altLang="ja-JP" sz="1100" baseline="0">
              <a:solidFill>
                <a:srgbClr val="FF0000"/>
              </a:solidFill>
            </a:rPr>
            <a:t>※Win2019</a:t>
          </a:r>
          <a:r>
            <a:rPr kumimoji="1" lang="ja-JP" altLang="en-US" sz="1100" baseline="0">
              <a:solidFill>
                <a:srgbClr val="FF0000"/>
              </a:solidFill>
            </a:rPr>
            <a:t>構築対応に伴う</a:t>
          </a:r>
          <a:r>
            <a:rPr kumimoji="1" lang="en-US" altLang="ja-JP" sz="1100" baseline="0">
              <a:solidFill>
                <a:srgbClr val="FF0000"/>
              </a:solidFill>
            </a:rPr>
            <a:t>Azure</a:t>
          </a:r>
          <a:r>
            <a:rPr kumimoji="1" lang="ja-JP" altLang="en-US" sz="1100" baseline="0">
              <a:solidFill>
                <a:srgbClr val="FF0000"/>
              </a:solidFill>
            </a:rPr>
            <a:t>の費用は</a:t>
          </a:r>
          <a:endParaRPr kumimoji="1" lang="en-US" altLang="ja-JP" sz="1100" baseline="0">
            <a:solidFill>
              <a:srgbClr val="FF0000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　</a:t>
          </a:r>
          <a:r>
            <a:rPr kumimoji="1" lang="en-US" altLang="ja-JP" sz="1100" baseline="0">
              <a:solidFill>
                <a:srgbClr val="FF0000"/>
              </a:solidFill>
            </a:rPr>
            <a:t>PJ</a:t>
          </a:r>
          <a:r>
            <a:rPr kumimoji="1" lang="ja-JP" altLang="en-US" sz="1100" baseline="0">
              <a:solidFill>
                <a:srgbClr val="FF0000"/>
              </a:solidFill>
            </a:rPr>
            <a:t>で予算化</a:t>
          </a:r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244140</xdr:colOff>
      <xdr:row>0</xdr:row>
      <xdr:rowOff>92687</xdr:rowOff>
    </xdr:from>
    <xdr:to>
      <xdr:col>18</xdr:col>
      <xdr:colOff>299037</xdr:colOff>
      <xdr:row>9</xdr:row>
      <xdr:rowOff>172358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A4FAD24-ABFF-40DC-AE25-CD3F4CF08DE9}"/>
            </a:ext>
          </a:extLst>
        </xdr:cNvPr>
        <xdr:cNvSpPr txBox="1"/>
      </xdr:nvSpPr>
      <xdr:spPr>
        <a:xfrm>
          <a:off x="13706140" y="92687"/>
          <a:ext cx="2685611" cy="212074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2026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年度予算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年実績との比較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年間約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千円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年予算との比較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千円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</a:p>
        <a:p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  <a:r>
            <a:rPr kumimoji="0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理由</a:t>
          </a:r>
          <a:endParaRPr kumimoji="0" lang="en-US" altLang="ja-JP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価格高騰反映のため</a:t>
          </a:r>
          <a:endParaRPr kumimoji="1" lang="en-US" altLang="ja-JP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0</xdr:row>
      <xdr:rowOff>15240</xdr:rowOff>
    </xdr:from>
    <xdr:to>
      <xdr:col>14</xdr:col>
      <xdr:colOff>29846</xdr:colOff>
      <xdr:row>16</xdr:row>
      <xdr:rowOff>65154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8F9234-62B6-487F-B39D-88CF273C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021" y="15240"/>
          <a:ext cx="9231630" cy="3696719"/>
        </a:xfrm>
        <a:prstGeom prst="rect">
          <a:avLst/>
        </a:prstGeom>
      </xdr:spPr>
    </xdr:pic>
    <xdr:clientData/>
  </xdr:twoCellAnchor>
  <xdr:twoCellAnchor>
    <xdr:from>
      <xdr:col>14</xdr:col>
      <xdr:colOff>723447</xdr:colOff>
      <xdr:row>15</xdr:row>
      <xdr:rowOff>55335</xdr:rowOff>
    </xdr:from>
    <xdr:to>
      <xdr:col>17</xdr:col>
      <xdr:colOff>725315</xdr:colOff>
      <xdr:row>24</xdr:row>
      <xdr:rowOff>163285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6C7EE9D-4807-421A-A37C-CCBDC3D9FAB8}"/>
            </a:ext>
          </a:extLst>
        </xdr:cNvPr>
        <xdr:cNvSpPr txBox="1"/>
      </xdr:nvSpPr>
      <xdr:spPr>
        <a:xfrm>
          <a:off x="12734018" y="3457121"/>
          <a:ext cx="3131511" cy="21490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年実績との比較</a:t>
          </a:r>
          <a:endParaRPr lang="ja-JP" altLang="ja-JP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→年間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万値上り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年予算との比較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→年間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値下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  <a:r>
            <a:rPr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理由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12</a:t>
          </a:r>
          <a:r>
            <a:rPr kumimoji="1" lang="ja-JP" altLang="en-US" sz="1100">
              <a:solidFill>
                <a:srgbClr val="FF0000"/>
              </a:solidFill>
            </a:rPr>
            <a:t>月より単価</a:t>
          </a:r>
          <a:r>
            <a:rPr kumimoji="1" lang="en-US" altLang="ja-JP" sz="1100">
              <a:solidFill>
                <a:srgbClr val="FF0000"/>
              </a:solidFill>
            </a:rPr>
            <a:t>400</a:t>
          </a:r>
          <a:r>
            <a:rPr kumimoji="1" lang="ja-JP" altLang="en-US" sz="1100">
              <a:solidFill>
                <a:srgbClr val="FF0000"/>
              </a:solidFill>
            </a:rPr>
            <a:t>弱値上の影響のため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581890</xdr:colOff>
      <xdr:row>1</xdr:row>
      <xdr:rowOff>55419</xdr:rowOff>
    </xdr:from>
    <xdr:to>
      <xdr:col>10</xdr:col>
      <xdr:colOff>530282</xdr:colOff>
      <xdr:row>17</xdr:row>
      <xdr:rowOff>186742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E232C2-824A-258A-250A-30D19504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890" y="290946"/>
          <a:ext cx="8797637" cy="3899760"/>
        </a:xfrm>
        <a:prstGeom prst="rect">
          <a:avLst/>
        </a:prstGeom>
      </xdr:spPr>
    </xdr:pic>
    <xdr:clientData/>
  </xdr:twoCellAnchor>
  <xdr:twoCellAnchor editAs="oneCell">
    <xdr:from>
      <xdr:col>11</xdr:col>
      <xdr:colOff>221673</xdr:colOff>
      <xdr:row>0</xdr:row>
      <xdr:rowOff>0</xdr:rowOff>
    </xdr:from>
    <xdr:to>
      <xdr:col>23</xdr:col>
      <xdr:colOff>182770</xdr:colOff>
      <xdr:row>18</xdr:row>
      <xdr:rowOff>215438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EE1D6E3-99B9-E4D1-289D-0557D36A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8291" y="0"/>
          <a:ext cx="10195796" cy="444730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67236</xdr:colOff>
      <xdr:row>25</xdr:row>
      <xdr:rowOff>84605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35C6F33-87C5-4692-BAB2-D50E3FA36591}"/>
            </a:ext>
          </a:extLst>
        </xdr:cNvPr>
        <xdr:cNvSpPr txBox="1"/>
      </xdr:nvSpPr>
      <xdr:spPr>
        <a:xfrm>
          <a:off x="14679706" y="4706471"/>
          <a:ext cx="2700618" cy="9810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3</a:t>
          </a:r>
          <a:r>
            <a:rPr kumimoji="1" lang="ja-JP" altLang="en-US" sz="1100">
              <a:solidFill>
                <a:srgbClr val="FF0000"/>
              </a:solidFill>
            </a:rPr>
            <a:t>月で解約のため、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年度は費用発生しない</a:t>
          </a:r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117930</xdr:rowOff>
    </xdr:from>
    <xdr:to>
      <xdr:col>5</xdr:col>
      <xdr:colOff>40640</xdr:colOff>
      <xdr:row>16</xdr:row>
      <xdr:rowOff>59419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7C0476-C011-7C57-3743-73ED18F0D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17930"/>
          <a:ext cx="7279640" cy="357006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471714</xdr:colOff>
      <xdr:row>2</xdr:row>
      <xdr:rowOff>172357</xdr:rowOff>
    </xdr:from>
    <xdr:to>
      <xdr:col>8</xdr:col>
      <xdr:colOff>522969</xdr:colOff>
      <xdr:row>22</xdr:row>
      <xdr:rowOff>106579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56E1FF-8896-5519-912E-692BAF8EA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714" y="625928"/>
          <a:ext cx="9733644" cy="446676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2</xdr:row>
      <xdr:rowOff>140609</xdr:rowOff>
    </xdr:from>
    <xdr:to>
      <xdr:col>7</xdr:col>
      <xdr:colOff>99547</xdr:colOff>
      <xdr:row>28</xdr:row>
      <xdr:rowOff>95251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956856-24C0-6784-B399-F6EF2D598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" y="603252"/>
          <a:ext cx="8835333" cy="458107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589431</xdr:colOff>
      <xdr:row>0</xdr:row>
      <xdr:rowOff>88900</xdr:rowOff>
    </xdr:from>
    <xdr:to>
      <xdr:col>19</xdr:col>
      <xdr:colOff>713815</xdr:colOff>
      <xdr:row>10</xdr:row>
      <xdr:rowOff>104589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12FE7B3-88C8-42E5-8D35-48EAF835A27B}"/>
            </a:ext>
          </a:extLst>
        </xdr:cNvPr>
        <xdr:cNvSpPr txBox="1"/>
      </xdr:nvSpPr>
      <xdr:spPr>
        <a:xfrm>
          <a:off x="14043960" y="88900"/>
          <a:ext cx="3418914" cy="23315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年実績との比較</a:t>
          </a:r>
          <a:endParaRPr lang="ja-JP" altLang="ja-JP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（ただ、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月の実績が抜けている）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年予算との比較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年間約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UP</a:t>
          </a:r>
        </a:p>
        <a:p>
          <a:r>
            <a:rPr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理由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月更新月のため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その他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FBJ</a:t>
          </a:r>
          <a:r>
            <a:rPr kumimoji="1" lang="ja-JP" altLang="en-US" sz="1100">
              <a:solidFill>
                <a:srgbClr val="FF0000"/>
              </a:solidFill>
            </a:rPr>
            <a:t>見積待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19</xdr:col>
      <xdr:colOff>372461</xdr:colOff>
      <xdr:row>9</xdr:row>
      <xdr:rowOff>209177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EC5E6FE-DDCD-424E-97E5-AC14C79DE086}"/>
            </a:ext>
          </a:extLst>
        </xdr:cNvPr>
        <xdr:cNvSpPr txBox="1"/>
      </xdr:nvSpPr>
      <xdr:spPr>
        <a:xfrm>
          <a:off x="16226118" y="231588"/>
          <a:ext cx="2344696" cy="206188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年度予算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Neusoft</a:t>
          </a:r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IT</a:t>
          </a:r>
          <a:r>
            <a:rPr kumimoji="1" lang="ja-JP" altLang="en-US" sz="1100">
              <a:solidFill>
                <a:srgbClr val="FF0000"/>
              </a:solidFill>
            </a:rPr>
            <a:t>：大連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年度より</a:t>
          </a:r>
          <a:r>
            <a:rPr kumimoji="1" lang="en-US" altLang="ja-JP" sz="1100">
              <a:solidFill>
                <a:srgbClr val="FF0000"/>
              </a:solidFill>
            </a:rPr>
            <a:t>24</a:t>
          </a:r>
          <a:r>
            <a:rPr kumimoji="1" lang="ja-JP" altLang="en-US" sz="1100">
              <a:solidFill>
                <a:srgbClr val="FF0000"/>
              </a:solidFill>
            </a:rPr>
            <a:t>万ほど減額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Neusoft</a:t>
          </a:r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IT</a:t>
          </a:r>
          <a:r>
            <a:rPr kumimoji="1" lang="ja-JP" altLang="en-US" sz="1100">
              <a:solidFill>
                <a:srgbClr val="FF0000"/>
              </a:solidFill>
            </a:rPr>
            <a:t>：オフィス常駐２名</a:t>
          </a:r>
          <a:br>
            <a:rPr kumimoji="1" lang="en-US" altLang="ja-JP" sz="1100">
              <a:solidFill>
                <a:srgbClr val="FF0000"/>
              </a:solidFill>
            </a:rPr>
          </a:br>
          <a:r>
            <a:rPr kumimoji="1" lang="ja-JP" altLang="en-US" sz="1100">
              <a:solidFill>
                <a:srgbClr val="FF0000"/>
              </a:solidFill>
            </a:rPr>
            <a:t>→</a:t>
          </a:r>
          <a:r>
            <a:rPr kumimoji="1" lang="en-US" altLang="ja-JP" sz="1100">
              <a:solidFill>
                <a:srgbClr val="FF0000"/>
              </a:solidFill>
            </a:rPr>
            <a:t>2025</a:t>
          </a:r>
          <a:r>
            <a:rPr kumimoji="1" lang="ja-JP" altLang="en-US" sz="1100">
              <a:solidFill>
                <a:srgbClr val="FF0000"/>
              </a:solidFill>
            </a:rPr>
            <a:t>年度と同額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Down</a:t>
          </a:r>
          <a:r>
            <a:rPr kumimoji="1" lang="ja-JP" altLang="en-US" sz="1100">
              <a:solidFill>
                <a:srgbClr val="FF0000"/>
              </a:solidFill>
            </a:rPr>
            <a:t>理由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国際回線使用料の実績反映分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546100</xdr:colOff>
      <xdr:row>1</xdr:row>
      <xdr:rowOff>114300</xdr:rowOff>
    </xdr:from>
    <xdr:to>
      <xdr:col>14</xdr:col>
      <xdr:colOff>936678</xdr:colOff>
      <xdr:row>7</xdr:row>
      <xdr:rowOff>29697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1521713-A6CD-4685-B5A2-54E9F7DE6B90}"/>
            </a:ext>
          </a:extLst>
        </xdr:cNvPr>
        <xdr:cNvSpPr txBox="1"/>
      </xdr:nvSpPr>
      <xdr:spPr>
        <a:xfrm>
          <a:off x="8464550" y="342900"/>
          <a:ext cx="2371778" cy="12869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年度は予算なし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>
            <a:solidFill>
              <a:srgbClr val="FF0000"/>
            </a:solidFill>
          </a:endParaRPr>
        </a:p>
        <a:p>
          <a:br>
            <a:rPr kumimoji="1" lang="en-US" altLang="ja-JP" sz="1100">
              <a:solidFill>
                <a:srgbClr val="FF0000"/>
              </a:solidFill>
            </a:rPr>
          </a:b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219076</xdr:rowOff>
    </xdr:from>
    <xdr:to>
      <xdr:col>14</xdr:col>
      <xdr:colOff>365760</xdr:colOff>
      <xdr:row>4</xdr:row>
      <xdr:rowOff>123826</xdr:rowOff>
    </xdr:to>
    <xdr:sp macro="" textlink="">
      <xdr:nvSpPr>
        <xdr:cNvPr id="3" name="テキスト ボックス 1">
          <a:extLst>
            <a:ext uri="{FF2B5EF4-FFF2-40B4-BE49-F238E27FC236}">
              <a16:creationId xmlns:a16="http://schemas.microsoft.com/office/drawing/2014/main" id="{B3AD4F5D-7332-430E-91EF-8526ECBE609A}"/>
            </a:ext>
          </a:extLst>
        </xdr:cNvPr>
        <xdr:cNvSpPr txBox="1"/>
      </xdr:nvSpPr>
      <xdr:spPr>
        <a:xfrm>
          <a:off x="904875" y="219076"/>
          <a:ext cx="969073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見積を取得して必要なら予算化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PDF</a:t>
          </a:r>
          <a:r>
            <a:rPr kumimoji="1" lang="ja-JP" altLang="en-US" sz="1100"/>
            <a:t>の編集・統合・変換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UJITA Misako（藤田）" id="{71CC488A-A8C4-4A91-82FD-7D24FA133E59}" userId="S::m.fujita@frontier-mgmt.com::7a65e43c-0d7e-4866-b477-b0d82e693bfa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JITA Misako（藤田）" refreshedDate="45981.630668518519" createdVersion="8" refreshedVersion="8" minRefreshableVersion="3" recordCount="541" xr:uid="{942EFC97-2463-4C7E-A9AB-848621C9AFB0}">
  <cacheSource type="worksheet">
    <worksheetSource ref="A1:AP542" sheet="query" r:id="rId2"/>
  </cacheSource>
  <cacheFields count="45">
    <cacheField name="PC名" numFmtId="49">
      <sharedItems/>
    </cacheField>
    <cacheField name="AutopilotPC名" numFmtId="49">
      <sharedItems containsBlank="1"/>
    </cacheField>
    <cacheField name="使用者" numFmtId="49">
      <sharedItems containsBlank="1"/>
    </cacheField>
    <cacheField name="使用者メール" numFmtId="49">
      <sharedItems containsBlank="1"/>
    </cacheField>
    <cacheField name="使用者種別" numFmtId="49">
      <sharedItems containsBlank="1"/>
    </cacheField>
    <cacheField name="旧使用者" numFmtId="49">
      <sharedItems containsBlank="1"/>
    </cacheField>
    <cacheField name="上長（メールアドレス）" numFmtId="49">
      <sharedItems containsBlank="1"/>
    </cacheField>
    <cacheField name="アサイン開始日" numFmtId="14">
      <sharedItems containsNonDate="0" containsDate="1" containsString="0" containsBlank="1" minDate="2025-01-29T00:00:00" maxDate="2025-02-06T00:00:00"/>
    </cacheField>
    <cacheField name="アサイン終了予定日" numFmtId="14">
      <sharedItems containsNonDate="0" containsString="0" containsBlank="1"/>
    </cacheField>
    <cacheField name="レンタル中" numFmtId="0">
      <sharedItems containsBlank="1"/>
    </cacheField>
    <cacheField name="ステータス" numFmtId="49">
      <sharedItems count="9">
        <s v="返却済み"/>
        <s v="廃棄済み"/>
        <s v="使用中"/>
        <s v="保管"/>
        <s v="返却予定"/>
        <s v="初期化待ち"/>
        <s v="利用者決定(KEEP）"/>
        <s v="利用可＞リカバリ済み"/>
        <s v="セットアップ中"/>
      </sharedItems>
    </cacheField>
    <cacheField name="機種" numFmtId="49">
      <sharedItems containsBlank="1" count="17">
        <s v="HP ELITEDESK800 G5 SFF"/>
        <s v="Thinkpad X61"/>
        <s v="Thinkpad X390"/>
        <s v="Thinkpad X13Gen1"/>
        <s v="Latitude5511"/>
        <s v="ThinkPad L13Gen2"/>
        <s v="ThinkPad L13Gen3"/>
        <s v="SurfacePro8"/>
        <s v="ThinkPadL13Gen4"/>
        <m/>
        <s v="HP EliteDesk 800 G6 Small Form Factor PC"/>
        <s v="HP 800G9 SFF(デスクトップ)"/>
        <s v="ThinkPad X201i"/>
        <s v="ThinkPad X13Gen3"/>
        <s v="VOSTRO Notebook 3500"/>
        <s v="ThinkPad L13Gen3-Eng"/>
        <s v="ThinkPad X13Gen3-Eng"/>
      </sharedItems>
    </cacheField>
    <cacheField name="内蔵" numFmtId="49">
      <sharedItems containsBlank="1"/>
    </cacheField>
    <cacheField name="メモリ" numFmtId="49">
      <sharedItems containsBlank="1"/>
    </cacheField>
    <cacheField name="リース元管理番号" numFmtId="49">
      <sharedItems containsBlank="1"/>
    </cacheField>
    <cacheField name="Model Number" numFmtId="49">
      <sharedItems containsBlank="1"/>
    </cacheField>
    <cacheField name="Serial Number" numFmtId="49">
      <sharedItems containsBlank="1"/>
    </cacheField>
    <cacheField name="購入時期" numFmtId="49">
      <sharedItems containsBlank="1"/>
    </cacheField>
    <cacheField name="購入年月" numFmtId="22">
      <sharedItems containsNonDate="0" containsDate="1" containsString="0" containsBlank="1" minDate="2010-08-31T15:00:00" maxDate="2023-09-30T15:00:00"/>
    </cacheField>
    <cacheField name="備考" numFmtId="49">
      <sharedItems containsBlank="1"/>
    </cacheField>
    <cacheField name="廃棄・レンタル返却時期" numFmtId="22">
      <sharedItems containsNonDate="0" containsDate="1" containsString="0" containsBlank="1" minDate="2022-05-13T15:00:00" maxDate="2026-09-29T15:00:00" count="29">
        <m/>
        <d v="2022-05-13T15:00:00"/>
        <d v="2024-04-04T15:00:00"/>
        <d v="2024-03-30T15:00:00"/>
        <d v="2023-08-27T15:00:00"/>
        <d v="2024-06-30T15:00:00"/>
        <d v="2024-09-21T15:00:00"/>
        <d v="2024-11-09T15:00:00"/>
        <d v="2025-01-10T15:00:00"/>
        <d v="2025-04-09T15:00:00"/>
        <d v="2025-05-14T15:00:00"/>
        <d v="2025-06-11T15:00:00"/>
        <d v="2025-06-18T15:00:00"/>
        <d v="2025-03-09T15:00:00"/>
        <d v="2025-08-17T15:00:00"/>
        <d v="2025-08-22T15:00:00"/>
        <d v="2025-08-29T15:00:00"/>
        <d v="2025-09-05T15:00:00"/>
        <d v="2025-08-02T15:00:00"/>
        <d v="2025-10-19T15:00:00"/>
        <d v="2025-10-09T15:00:00"/>
        <d v="2025-09-12T15:00:00"/>
        <d v="2025-10-11T15:00:00"/>
        <d v="2025-10-23T15:00:00"/>
        <d v="2026-01-17T15:00:00"/>
        <d v="2026-04-29T15:00:00"/>
        <d v="2026-05-29T15:00:00"/>
        <d v="2026-06-29T15:00:00"/>
        <d v="2026-09-29T15:00:00"/>
      </sharedItems>
      <fieldGroup par="44"/>
    </cacheField>
    <cacheField name="レンタル元" numFmtId="49">
      <sharedItems containsBlank="1"/>
    </cacheField>
    <cacheField name="キーボードカバーレンタル管理番号" numFmtId="49">
      <sharedItems containsBlank="1"/>
    </cacheField>
    <cacheField name="Surfaceドックレンタル管理番号" numFmtId="49">
      <sharedItems containsBlank="1"/>
    </cacheField>
    <cacheField name="買い取り or 返却日" numFmtId="49">
      <sharedItems containsBlank="1"/>
    </cacheField>
    <cacheField name="購買稟議N." numFmtId="49">
      <sharedItems containsBlank="1"/>
    </cacheField>
    <cacheField name="レンタル会社の契約番号" numFmtId="49">
      <sharedItems containsBlank="1"/>
    </cacheField>
    <cacheField name="サポートデスク返却端末受領日" numFmtId="49">
      <sharedItems containsBlank="1"/>
    </cacheField>
    <cacheField name="分類" numFmtId="49">
      <sharedItems containsNonDate="0" containsString="0" containsBlank="1"/>
    </cacheField>
    <cacheField name="月額" numFmtId="49">
      <sharedItems containsBlank="1"/>
    </cacheField>
    <cacheField name="その他費用" numFmtId="49">
      <sharedItems containsNonDate="0" containsString="0" containsBlank="1"/>
    </cacheField>
    <cacheField name="場所" numFmtId="49">
      <sharedItems containsNonDate="0" containsString="0" containsBlank="1"/>
    </cacheField>
    <cacheField name="Win11 24H2対応" numFmtId="49">
      <sharedItems containsBlank="1"/>
    </cacheField>
    <cacheField name="Windows バージョン" numFmtId="49">
      <sharedItems containsNonDate="0" containsString="0" containsBlank="1"/>
    </cacheField>
    <cacheField name="外注情報" numFmtId="0">
      <sharedItems/>
    </cacheField>
    <cacheField name="外注情報:会社名" numFmtId="0">
      <sharedItems/>
    </cacheField>
    <cacheField name="外注情報:姓" numFmtId="0">
      <sharedItems/>
    </cacheField>
    <cacheField name="外注情報:名" numFmtId="0">
      <sharedItems/>
    </cacheField>
    <cacheField name="外注情報:案件名" numFmtId="0">
      <sharedItems/>
    </cacheField>
    <cacheField name="所属会社" numFmtId="49">
      <sharedItems containsBlank="1"/>
    </cacheField>
    <cacheField name="アイテムの種類" numFmtId="49">
      <sharedItems/>
    </cacheField>
    <cacheField name="パス" numFmtId="49">
      <sharedItems/>
    </cacheField>
    <cacheField name="月 (廃棄・レンタル返却時期)" numFmtId="0" databaseField="0">
      <fieldGroup base="20">
        <rangePr groupBy="months" startDate="2022-05-13T15:00:00" endDate="2026-09-29T15:00:00"/>
        <groupItems count="14">
          <s v="&lt;2022/5/1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9/29"/>
        </groupItems>
      </fieldGroup>
    </cacheField>
    <cacheField name="四半期 (廃棄・レンタル返却時期)" numFmtId="0" databaseField="0">
      <fieldGroup base="20">
        <rangePr groupBy="quarters" startDate="2022-05-13T15:00:00" endDate="2026-09-29T15:00:00"/>
        <groupItems count="6">
          <s v="&lt;2022/5/13"/>
          <s v="第1四半期"/>
          <s v="第2四半期"/>
          <s v="第3四半期"/>
          <s v="第4四半期"/>
          <s v="&gt;2026/9/29"/>
        </groupItems>
      </fieldGroup>
    </cacheField>
    <cacheField name="年 (廃棄・レンタル返却時期)" numFmtId="0" databaseField="0">
      <fieldGroup base="20">
        <rangePr groupBy="years" startDate="2022-05-13T15:00:00" endDate="2026-09-29T15:00:00"/>
        <groupItems count="7">
          <s v="&lt;2022/5/13"/>
          <s v="2022年"/>
          <s v="2023年"/>
          <s v="2024年"/>
          <s v="2025年"/>
          <s v="2026年"/>
          <s v="&gt;2026/9/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s v="DESKTOP-93EOTJ6"/>
    <m/>
    <m/>
    <m/>
    <m/>
    <s v="白井 悠貴"/>
    <m/>
    <m/>
    <m/>
    <b v="0"/>
    <x v="0"/>
    <x v="0"/>
    <m/>
    <s v="16GB"/>
    <m/>
    <m/>
    <m/>
    <m/>
    <m/>
    <s v="Claptonにて利用　ローカル管理者（User1 PW:m3T)ZbMf)"/>
    <x v="0"/>
    <m/>
    <m/>
    <m/>
    <s v="ー"/>
    <m/>
    <m/>
    <m/>
    <m/>
    <m/>
    <m/>
    <m/>
    <m/>
    <m/>
    <s v=""/>
    <s v=""/>
    <s v=""/>
    <s v=""/>
    <s v=""/>
    <m/>
    <s v="アイテム"/>
    <s v="sites/itsupport/Lists/PC Flight 4"/>
  </r>
  <r>
    <s v="FMIpc063"/>
    <m/>
    <s v="不具合→初期化済"/>
    <m/>
    <m/>
    <m/>
    <m/>
    <m/>
    <m/>
    <b v="0"/>
    <x v="1"/>
    <x v="1"/>
    <s v="HDD"/>
    <m/>
    <s v="K-3004"/>
    <s v="7673-3AJ"/>
    <s v="LV-K0676"/>
    <s v="第5次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00"/>
    <m/>
    <m/>
    <m/>
    <m/>
    <s v="西村 好司＜野口 昌泰"/>
    <m/>
    <m/>
    <m/>
    <m/>
    <x v="0"/>
    <x v="2"/>
    <s v="SSD 256GB"/>
    <s v="8G"/>
    <s v="6213415"/>
    <s v="20Q1S37F00"/>
    <s v="PC1F55WX"/>
    <m/>
    <d v="2019-05-14T15:00:00"/>
    <s v="5905955の代替機"/>
    <x v="1"/>
    <m/>
    <m/>
    <m/>
    <s v="2022年返却"/>
    <m/>
    <s v="倉庫"/>
    <m/>
    <m/>
    <m/>
    <m/>
    <m/>
    <m/>
    <m/>
    <s v=""/>
    <s v=""/>
    <s v=""/>
    <s v=""/>
    <s v=""/>
    <m/>
    <s v="アイテム"/>
    <s v="sites/itsupport/Lists/PC Flight 4"/>
  </r>
  <r>
    <s v="FMIPC1001"/>
    <m/>
    <m/>
    <m/>
    <m/>
    <s v="藤田 優梨香&lt;二見 隼人&lt;島木 優一"/>
    <m/>
    <m/>
    <m/>
    <m/>
    <x v="0"/>
    <x v="3"/>
    <s v="SSD 256GB"/>
    <s v="8G"/>
    <s v="6711716"/>
    <s v="20T3S96F00"/>
    <s v="PC26S9JX"/>
    <m/>
    <d v="2021-03-31T15:00:00"/>
    <s v="6433667の代替機"/>
    <x v="2"/>
    <m/>
    <m/>
    <m/>
    <s v="2024/4/5返却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2"/>
    <m/>
    <m/>
    <m/>
    <m/>
    <s v="山川 寛之 &lt; 塩田 英俊"/>
    <m/>
    <m/>
    <m/>
    <m/>
    <x v="0"/>
    <x v="3"/>
    <s v="SSD 256GB"/>
    <s v="8G"/>
    <s v="6433673"/>
    <s v="20T3S96F00"/>
    <s v="PC1SGRRG"/>
    <m/>
    <d v="2021-03-31T15:00:00"/>
    <m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3"/>
    <m/>
    <m/>
    <m/>
    <m/>
    <s v="内山 裕美子　vｃ"/>
    <m/>
    <m/>
    <m/>
    <m/>
    <x v="0"/>
    <x v="3"/>
    <s v="SSD 256GB"/>
    <s v="8G"/>
    <s v="6615552_x0009_"/>
    <s v="20T3S96F00"/>
    <s v="PC22KEDH"/>
    <m/>
    <d v="2021-03-31T15:00:00"/>
    <s v="6433681の代替機（FMIPC1010）"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3"/>
    <m/>
    <m/>
    <m/>
    <m/>
    <s v="安岡 祐介＜森 和樹＜柴田 隆治"/>
    <m/>
    <m/>
    <m/>
    <m/>
    <x v="0"/>
    <x v="3"/>
    <s v="SSD 256GB"/>
    <s v="8G"/>
    <s v="6433674"/>
    <s v="20T3S96F00"/>
    <s v="PC1SGRRC"/>
    <m/>
    <d v="2021-03-31T15:00:00"/>
    <m/>
    <x v="3"/>
    <m/>
    <m/>
    <m/>
    <s v="返却済"/>
    <m/>
    <m/>
    <m/>
    <m/>
    <m/>
    <m/>
    <m/>
    <m/>
    <m/>
    <s v=""/>
    <s v=""/>
    <s v=""/>
    <s v=""/>
    <s v=""/>
    <m/>
    <s v="アイテム"/>
    <s v="sites/itsupport/Lists/PC Flight 4"/>
  </r>
  <r>
    <s v="FMIPC1004"/>
    <m/>
    <m/>
    <m/>
    <m/>
    <s v="宮本 知篤＜梅村 千晶"/>
    <m/>
    <m/>
    <m/>
    <m/>
    <x v="0"/>
    <x v="3"/>
    <s v="SSD 256GB"/>
    <s v="8G"/>
    <s v="6433675"/>
    <s v="20T3S96F00"/>
    <s v="PC1SGRRA"/>
    <m/>
    <d v="2021-03-31T15:00:00"/>
    <m/>
    <x v="2"/>
    <m/>
    <m/>
    <m/>
    <s v="2024/4/5返却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5"/>
    <m/>
    <m/>
    <m/>
    <m/>
    <s v="陳 慧宇&lt;田中 仁敬"/>
    <m/>
    <m/>
    <m/>
    <m/>
    <x v="0"/>
    <x v="3"/>
    <s v="SSD 256GB"/>
    <s v="8G"/>
    <s v="6433676"/>
    <s v="20T3S96F00"/>
    <s v="PC1SGRRD"/>
    <m/>
    <d v="2021-03-31T15:00:00"/>
    <m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6"/>
    <m/>
    <m/>
    <m/>
    <m/>
    <s v="小山 泰平 &lt; 福田　尚冬"/>
    <m/>
    <m/>
    <m/>
    <m/>
    <x v="0"/>
    <x v="3"/>
    <s v="SSD 256GB"/>
    <s v="8G"/>
    <s v="6433677"/>
    <s v="20T3S96F00"/>
    <s v="PC1SGRRL"/>
    <m/>
    <d v="2021-03-31T15:00:00"/>
    <m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7"/>
    <m/>
    <m/>
    <m/>
    <m/>
    <s v="原田 一裕"/>
    <m/>
    <m/>
    <m/>
    <m/>
    <x v="0"/>
    <x v="3"/>
    <s v="SSD 256GB"/>
    <s v="8G"/>
    <s v="6433678"/>
    <s v="20T3S96F00"/>
    <s v="PC1SGRRR"/>
    <m/>
    <d v="2021-03-31T15:00:00"/>
    <m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08"/>
    <m/>
    <s v="韓 晴(Neusoft大連送付-CS部門)"/>
    <s v="han.qing@frontier-mgmt.com"/>
    <s v="特殊タスク"/>
    <s v="村瀬　協吾&lt;尾又 康介"/>
    <m/>
    <m/>
    <m/>
    <b v="0"/>
    <x v="2"/>
    <x v="3"/>
    <s v="SSD 256GB"/>
    <s v="8G"/>
    <s v="6424315"/>
    <s v="20T3S96F00"/>
    <s v="PC1SGS2Z"/>
    <m/>
    <d v="2021-03-31T15:00:00"/>
    <s v="6433679の代替品"/>
    <x v="2"/>
    <s v="（仮）横河レンタリース"/>
    <m/>
    <m/>
    <s v="買取PC 2024/３/1"/>
    <s v="D21-169"/>
    <m/>
    <m/>
    <m/>
    <s v="3,850"/>
    <m/>
    <m/>
    <s v="WSUS対応予定"/>
    <m/>
    <s v="han.qing@frontier-mgmt.com;#77"/>
    <s v="Neusoft;#77"/>
    <s v="韓;#77"/>
    <s v="晴;#77"/>
    <s v="【CS】Neusoft BPO;#77"/>
    <m/>
    <s v="アイテム"/>
    <s v="sites/itsupport/Lists/PC Flight 4"/>
  </r>
  <r>
    <s v="FMIPC1009"/>
    <m/>
    <m/>
    <m/>
    <m/>
    <s v="松本 佳也 &lt; 水杉 裕太"/>
    <m/>
    <m/>
    <m/>
    <m/>
    <x v="0"/>
    <x v="3"/>
    <s v="SSD 256GB"/>
    <s v="8G"/>
    <s v="6433680"/>
    <s v="20T3S96F00"/>
    <s v="PC1SGRQH"/>
    <m/>
    <d v="2021-03-31T15:00:00"/>
    <m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10"/>
    <m/>
    <m/>
    <m/>
    <m/>
    <s v="安岡 祐介"/>
    <m/>
    <m/>
    <m/>
    <m/>
    <x v="0"/>
    <x v="3"/>
    <s v="SSD 256GB"/>
    <s v="8G"/>
    <s v="6433484"/>
    <s v="20T3S96F00"/>
    <s v="PC1RSMDK"/>
    <m/>
    <d v="2021-03-31T15:00:00"/>
    <s v="6433674の代替機（FMIPC1003）"/>
    <x v="2"/>
    <m/>
    <m/>
    <m/>
    <s v="返却済　2024/8/2"/>
    <s v="D21-169"/>
    <m/>
    <m/>
    <m/>
    <m/>
    <m/>
    <m/>
    <m/>
    <m/>
    <s v=""/>
    <s v=""/>
    <s v=""/>
    <s v=""/>
    <s v=""/>
    <m/>
    <s v="アイテム"/>
    <s v="sites/itsupport/Lists/PC Flight 4"/>
  </r>
  <r>
    <s v="FMIPC1010"/>
    <m/>
    <m/>
    <m/>
    <m/>
    <s v="安岡 祐介&lt;梅村 千晶＜野嵜 拓哉"/>
    <m/>
    <m/>
    <m/>
    <m/>
    <x v="0"/>
    <x v="3"/>
    <s v="SSD 256GB"/>
    <s v="8G"/>
    <s v="6433681"/>
    <s v="20T3S96F00"/>
    <s v="PC1SGRSY"/>
    <m/>
    <d v="2021-03-31T15:00:00"/>
    <m/>
    <x v="3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11"/>
    <m/>
    <s v="工藤 友紀(Webinar用)"/>
    <s v="Trainer@frontier-mgmt.com"/>
    <m/>
    <m/>
    <m/>
    <m/>
    <m/>
    <m/>
    <x v="0"/>
    <x v="4"/>
    <s v="SSD 512GB"/>
    <s v="16GB"/>
    <s v="6467315"/>
    <s v="Latitude 5511"/>
    <s v="G596BC3"/>
    <m/>
    <d v="2021-03-28T15:00:00"/>
    <m/>
    <x v="4"/>
    <m/>
    <m/>
    <m/>
    <s v="返却済DELL 2024/09"/>
    <s v="D23-610"/>
    <s v="1210302673"/>
    <s v="9月9日"/>
    <m/>
    <m/>
    <m/>
    <m/>
    <m/>
    <m/>
    <s v=""/>
    <s v=""/>
    <s v=""/>
    <s v=""/>
    <s v=""/>
    <m/>
    <s v="アイテム"/>
    <s v="sites/itsupport/Lists/PC Flight 4"/>
  </r>
  <r>
    <s v="FMIPC1012"/>
    <m/>
    <s v="佐久間 祐綱(MIS共有用)"/>
    <s v="y.sakuma@frontier-mgmt.com"/>
    <m/>
    <m/>
    <m/>
    <m/>
    <m/>
    <m/>
    <x v="0"/>
    <x v="4"/>
    <s v="SSD 512GB"/>
    <s v="16GB"/>
    <s v="6467310"/>
    <s v="Latitude 5511"/>
    <s v="1CC7BC3"/>
    <m/>
    <d v="2021-03-28T15:00:00"/>
    <m/>
    <x v="4"/>
    <m/>
    <m/>
    <m/>
    <s v="返却済DELL 2024/09"/>
    <s v="D23-610"/>
    <s v="1210302673"/>
    <m/>
    <m/>
    <m/>
    <m/>
    <m/>
    <m/>
    <m/>
    <s v=""/>
    <s v=""/>
    <s v=""/>
    <s v=""/>
    <s v=""/>
    <m/>
    <s v="アイテム"/>
    <s v="sites/itsupport/Lists/PC Flight 4"/>
  </r>
  <r>
    <s v="FMIPC1013"/>
    <m/>
    <m/>
    <m/>
    <m/>
    <s v="志賀 俊希＜岸川 康太郎"/>
    <m/>
    <m/>
    <m/>
    <m/>
    <x v="0"/>
    <x v="2"/>
    <s v="SSD 256GB"/>
    <s v="8G"/>
    <s v="6331628"/>
    <s v="20Q1S37F00"/>
    <s v="PC1HW0ZX"/>
    <m/>
    <d v="2019-05-14T15:00:00"/>
    <s v="5574636の代替機"/>
    <x v="1"/>
    <m/>
    <m/>
    <m/>
    <s v="2022年返却"/>
    <m/>
    <m/>
    <m/>
    <m/>
    <m/>
    <m/>
    <m/>
    <m/>
    <m/>
    <s v=""/>
    <s v=""/>
    <s v=""/>
    <s v=""/>
    <s v=""/>
    <m/>
    <s v="アイテム"/>
    <s v="sites/itsupport/Lists/PC Flight 4"/>
  </r>
  <r>
    <s v="FMIPC1014"/>
    <m/>
    <s v="佐久間 祐綱"/>
    <m/>
    <m/>
    <m/>
    <m/>
    <m/>
    <m/>
    <m/>
    <x v="0"/>
    <x v="2"/>
    <s v="SSD 256GB"/>
    <s v="8G"/>
    <s v="5993455"/>
    <s v="20Q1S37F00"/>
    <s v="PC1B2GPM"/>
    <m/>
    <d v="2019-05-14T15:00:00"/>
    <s v="5587535の代替機"/>
    <x v="1"/>
    <m/>
    <m/>
    <m/>
    <s v="2022年返却"/>
    <m/>
    <m/>
    <m/>
    <m/>
    <m/>
    <m/>
    <m/>
    <m/>
    <m/>
    <s v=""/>
    <s v=""/>
    <s v=""/>
    <s v=""/>
    <s v=""/>
    <m/>
    <s v="アイテム"/>
    <s v="sites/itsupport/Lists/PC Flight 4"/>
  </r>
  <r>
    <s v="FMIPC1015"/>
    <m/>
    <s v="齋藤 可奈恵"/>
    <m/>
    <m/>
    <m/>
    <m/>
    <m/>
    <m/>
    <m/>
    <x v="0"/>
    <x v="2"/>
    <s v="SSD 256GB"/>
    <s v="8G"/>
    <s v="6331652"/>
    <s v="20Q1S37F00"/>
    <s v="PC1HW0YA"/>
    <m/>
    <d v="2019-05-14T15:00:00"/>
    <s v="5574633の代替機"/>
    <x v="1"/>
    <m/>
    <m/>
    <m/>
    <s v="2022年返却"/>
    <m/>
    <m/>
    <m/>
    <m/>
    <m/>
    <m/>
    <m/>
    <m/>
    <m/>
    <s v=""/>
    <s v=""/>
    <s v=""/>
    <s v=""/>
    <s v=""/>
    <m/>
    <s v="アイテム"/>
    <s v="sites/itsupport/Lists/PC Flight 4"/>
  </r>
  <r>
    <s v="FMIPC1016"/>
    <m/>
    <s v="原田 貴史"/>
    <m/>
    <m/>
    <s v="岩本 真行＜荻堂 寛章"/>
    <m/>
    <m/>
    <m/>
    <m/>
    <x v="0"/>
    <x v="3"/>
    <s v="SSD 256GB"/>
    <s v="8G"/>
    <s v="6545029"/>
    <s v="20T3S96F00"/>
    <s v="PC1ZTC2C"/>
    <s v="第18次"/>
    <d v="2021-06-30T15:00:00"/>
    <m/>
    <x v="5"/>
    <m/>
    <m/>
    <m/>
    <s v="返却済　2024/8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17"/>
    <m/>
    <s v="藤本 隆志"/>
    <m/>
    <m/>
    <m/>
    <m/>
    <m/>
    <m/>
    <m/>
    <x v="0"/>
    <x v="3"/>
    <s v="SSD 256GB"/>
    <s v="8G"/>
    <s v="6545030"/>
    <s v="20T3S96F00"/>
    <s v="PC1ZR7E6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18"/>
    <m/>
    <s v="青木 健憲"/>
    <m/>
    <m/>
    <m/>
    <m/>
    <m/>
    <m/>
    <m/>
    <x v="0"/>
    <x v="3"/>
    <s v="SSD 256GB"/>
    <s v="8G"/>
    <s v="6545032"/>
    <s v="20T3S96F00"/>
    <s v="PC1ZTC2W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19"/>
    <m/>
    <s v="和田 隆"/>
    <m/>
    <m/>
    <s v="hira"/>
    <m/>
    <m/>
    <m/>
    <m/>
    <x v="0"/>
    <x v="3"/>
    <s v="SSD 256GB"/>
    <s v="8G"/>
    <s v="6545044"/>
    <s v="20T3S96F00"/>
    <s v="PC1ZTC1D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0"/>
    <m/>
    <m/>
    <m/>
    <m/>
    <s v="吉田 育良"/>
    <m/>
    <m/>
    <m/>
    <m/>
    <x v="0"/>
    <x v="3"/>
    <s v="SSD 256GB"/>
    <s v="8G"/>
    <s v="6545045"/>
    <s v="20T3S96F00"/>
    <s v="PC1ZTC2X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1"/>
    <m/>
    <s v="奥山 亮"/>
    <m/>
    <m/>
    <s v="成島 宏和"/>
    <m/>
    <m/>
    <m/>
    <m/>
    <x v="0"/>
    <x v="3"/>
    <s v="SSD 256GB"/>
    <s v="8G"/>
    <s v="6545046"/>
    <s v="20T3S96F00"/>
    <s v="PC1ZR7DS"/>
    <s v="第18次"/>
    <d v="2021-06-30T15:00:00"/>
    <m/>
    <x v="5"/>
    <m/>
    <m/>
    <m/>
    <s v="返却済 2024/8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2"/>
    <m/>
    <m/>
    <m/>
    <m/>
    <s v="折口　翔哉＜河島 義尚"/>
    <m/>
    <m/>
    <m/>
    <m/>
    <x v="0"/>
    <x v="3"/>
    <s v="SSD 256GB"/>
    <s v="8G"/>
    <s v="6557255"/>
    <s v="20T3S96F00"/>
    <s v="PC1ZR7CE"/>
    <s v="第18次"/>
    <d v="2021-06-30T15:00:00"/>
    <s v="6545047の代替機"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3"/>
    <m/>
    <s v="川岡　仁"/>
    <m/>
    <m/>
    <s v="吉田 芽生&lt;小森 忠明"/>
    <m/>
    <m/>
    <m/>
    <m/>
    <x v="0"/>
    <x v="3"/>
    <s v="SSD 256GB"/>
    <s v="8G"/>
    <s v="6545048"/>
    <s v="20T3S96F00"/>
    <s v="PC1ZR7CA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4"/>
    <m/>
    <s v="岩本 真行"/>
    <m/>
    <m/>
    <s v="津久井　陸＜砂田　晃輔＜本山 英延"/>
    <m/>
    <m/>
    <m/>
    <m/>
    <x v="0"/>
    <x v="3"/>
    <s v="SSD 256GB"/>
    <s v="8G"/>
    <s v="6424336"/>
    <s v="20T3S96F00"/>
    <s v="PC1SGPAE"/>
    <s v="第18次"/>
    <d v="2021-06-30T15:00:00"/>
    <s v="6421275の代替機＜6545049の代替品"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5"/>
    <m/>
    <s v="戸田 樹"/>
    <m/>
    <m/>
    <m/>
    <m/>
    <m/>
    <m/>
    <m/>
    <x v="0"/>
    <x v="3"/>
    <s v="SSD 256GB"/>
    <s v="8G"/>
    <s v="6545050"/>
    <s v="20T3S96F00"/>
    <s v="PC1ZR7J0"/>
    <s v="第18次"/>
    <d v="2021-06-30T15:00:00"/>
    <m/>
    <x v="5"/>
    <m/>
    <m/>
    <m/>
    <s v="返却　2024/7/2"/>
    <s v="D21-318"/>
    <s v="1210505471"/>
    <m/>
    <m/>
    <m/>
    <m/>
    <m/>
    <m/>
    <m/>
    <s v=""/>
    <s v=""/>
    <s v=""/>
    <s v=""/>
    <s v=""/>
    <m/>
    <s v="アイテム"/>
    <s v="sites/itsupport/Lists/PC Flight 4"/>
  </r>
  <r>
    <s v="FMIPC1026"/>
    <m/>
    <s v="NS宋"/>
    <s v="song.ml@frontier-mgmt.com"/>
    <s v="特殊タスク"/>
    <s v="中道 浩之"/>
    <m/>
    <m/>
    <m/>
    <b v="0"/>
    <x v="2"/>
    <x v="3"/>
    <s v="SSD 256GB"/>
    <s v="8G"/>
    <s v="6545017"/>
    <s v="20T3S96F00"/>
    <s v="PC1ZTC17"/>
    <s v="第19次"/>
    <d v="2021-06-30T15:00:00"/>
    <s v="202406買取"/>
    <x v="5"/>
    <s v="（仮）横河レンタリース"/>
    <m/>
    <m/>
    <s v="買取PC　2024/7/2"/>
    <s v="D21-367"/>
    <s v="1210605339"/>
    <m/>
    <m/>
    <s v="3,850"/>
    <m/>
    <m/>
    <s v="WSUS対応予定"/>
    <m/>
    <s v="song.ml@frontier-mgmt.com;#64"/>
    <s v="Neusoft;#64"/>
    <s v="宋;#64"/>
    <s v="夢露;#64"/>
    <s v="【CS】Neusoft BPO;#64"/>
    <m/>
    <s v="アイテム"/>
    <s v="sites/itsupport/Lists/PC Flight 4"/>
  </r>
  <r>
    <s v="FMIPC1027"/>
    <m/>
    <m/>
    <m/>
    <m/>
    <s v="堀 貴行"/>
    <m/>
    <m/>
    <m/>
    <m/>
    <x v="0"/>
    <x v="3"/>
    <s v="SSD 256GB"/>
    <s v="8G"/>
    <s v="6545027"/>
    <s v="20T3S96F00"/>
    <s v="PC1ZTC3K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28"/>
    <m/>
    <m/>
    <m/>
    <m/>
    <s v="岡部 専瑛＜高山 典也"/>
    <m/>
    <m/>
    <m/>
    <m/>
    <x v="0"/>
    <x v="3"/>
    <s v="SSD 256GB"/>
    <s v="8G"/>
    <s v="6545028"/>
    <s v="20T3S96F00"/>
    <s v="PC1ZR7EM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29"/>
    <m/>
    <s v="匂坂 将人"/>
    <m/>
    <m/>
    <s v="長森 建旺"/>
    <m/>
    <m/>
    <m/>
    <m/>
    <x v="0"/>
    <x v="3"/>
    <s v="SSD 256GB"/>
    <s v="8G"/>
    <s v="6611863"/>
    <s v="20T3S96F00"/>
    <s v="PC22K9T7"/>
    <s v="第19次"/>
    <d v="2021-06-30T15:00:00"/>
    <s v="6545031の代替品"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0"/>
    <m/>
    <s v="服部 天"/>
    <s v="t.hattori@frontier-mgmt.com"/>
    <m/>
    <m/>
    <m/>
    <m/>
    <m/>
    <m/>
    <x v="0"/>
    <x v="3"/>
    <s v="SSD 256GB"/>
    <s v="8G"/>
    <s v="6545033"/>
    <s v="20T3S96F00"/>
    <s v="PC1ZTC3S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1"/>
    <m/>
    <s v="河田 佳葉"/>
    <s v="k.kawata@frontier-mgmt.com"/>
    <m/>
    <m/>
    <m/>
    <m/>
    <m/>
    <m/>
    <x v="0"/>
    <x v="3"/>
    <s v="SSD 256GB"/>
    <s v="8G"/>
    <s v="6545034"/>
    <s v="20T3S96F00"/>
    <s v="PC1ZTC3Q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2"/>
    <m/>
    <m/>
    <m/>
    <m/>
    <s v="倉 盛楠&lt;大槻 晶子＜関守 一史"/>
    <m/>
    <m/>
    <m/>
    <m/>
    <x v="0"/>
    <x v="3"/>
    <s v="SSD 256GB"/>
    <s v="8G"/>
    <s v="6433412"/>
    <s v="20T3S96F00"/>
    <s v="PC1RSMER"/>
    <s v="第19次"/>
    <d v="2021-06-30T15:00:00"/>
    <s v="6545035の代替機"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3"/>
    <m/>
    <s v="石田 祥久"/>
    <m/>
    <m/>
    <m/>
    <m/>
    <m/>
    <m/>
    <m/>
    <x v="0"/>
    <x v="3"/>
    <s v="SSD 256GB"/>
    <s v="8G"/>
    <s v="6545036"/>
    <s v="20T3S96F00"/>
    <s v="PC1ZR7E2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4"/>
    <m/>
    <m/>
    <m/>
    <m/>
    <s v="桑原 鮎美＜大曲 達夫"/>
    <m/>
    <m/>
    <m/>
    <m/>
    <x v="0"/>
    <x v="3"/>
    <s v="SSD 256GB"/>
    <s v="8G"/>
    <s v="6557250"/>
    <s v="20T3S96F00"/>
    <s v="PC1ZTC1E"/>
    <s v="第19次"/>
    <d v="2021-06-30T15:00:00"/>
    <s v="6545037の代替品"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5"/>
    <m/>
    <m/>
    <m/>
    <m/>
    <s v="桑原 伸夫＜永田　武＜大塚 剛史"/>
    <m/>
    <m/>
    <m/>
    <m/>
    <x v="0"/>
    <x v="3"/>
    <s v="SSD 256GB"/>
    <s v="8G"/>
    <s v="6545040"/>
    <s v="20T3S96F00"/>
    <s v="PC1ZTC3V"/>
    <s v="第19次"/>
    <d v="2021-06-30T15:00:00"/>
    <m/>
    <x v="5"/>
    <m/>
    <m/>
    <m/>
    <s v="返却　2024/7/2"/>
    <s v="D21-367"/>
    <s v="1210605339"/>
    <m/>
    <m/>
    <m/>
    <m/>
    <m/>
    <m/>
    <m/>
    <s v=""/>
    <s v=""/>
    <s v=""/>
    <s v=""/>
    <s v=""/>
    <m/>
    <s v="アイテム"/>
    <s v="sites/itsupport/Lists/PC Flight 4"/>
  </r>
  <r>
    <s v="FMIPC1036"/>
    <m/>
    <m/>
    <m/>
    <m/>
    <s v="渡辺 隆太"/>
    <m/>
    <m/>
    <m/>
    <m/>
    <x v="0"/>
    <x v="2"/>
    <s v="SSD 256GB"/>
    <s v="8G"/>
    <s v="6306425"/>
    <s v="20Q1S37F00"/>
    <s v="PC1HVZ52"/>
    <m/>
    <d v="2019-05-14T15:00:00"/>
    <s v="6219780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36"/>
    <m/>
    <m/>
    <m/>
    <m/>
    <m/>
    <m/>
    <m/>
    <m/>
    <m/>
    <x v="0"/>
    <x v="2"/>
    <s v="SSD 256GB"/>
    <s v="8G"/>
    <s v="6219780"/>
    <s v="20Q1S37F00"/>
    <s v="PC1GSCSS"/>
    <m/>
    <d v="2019-05-14T15:00:00"/>
    <s v="5587524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37"/>
    <m/>
    <m/>
    <m/>
    <m/>
    <s v="鎌田 聖也"/>
    <m/>
    <m/>
    <m/>
    <m/>
    <x v="0"/>
    <x v="2"/>
    <s v="SSD 256GB"/>
    <s v="8G"/>
    <s v="6349500"/>
    <s v="20Q1S37F00"/>
    <s v="PC1HVZ3K"/>
    <m/>
    <d v="2019-05-14T15:00:00"/>
    <s v="5574630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38"/>
    <m/>
    <s v="深夜勤務用PC1-5(MC)"/>
    <m/>
    <m/>
    <m/>
    <m/>
    <m/>
    <m/>
    <m/>
    <x v="0"/>
    <x v="2"/>
    <s v="SSD 256GB"/>
    <s v="8G"/>
    <s v="6095454"/>
    <s v="20Q1S37F00"/>
    <s v="PC1CWJN8"/>
    <m/>
    <d v="2019-05-14T15:00:00"/>
    <s v="5587531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39"/>
    <m/>
    <s v="北山 勇太"/>
    <m/>
    <m/>
    <s v="前田 美幸＜森 和樹"/>
    <m/>
    <m/>
    <m/>
    <m/>
    <x v="0"/>
    <x v="3"/>
    <s v="SSD 256GB"/>
    <s v="8G"/>
    <s v="6711717"/>
    <s v="20T3S96F00"/>
    <s v="PC26S9L2"/>
    <s v="第20次"/>
    <d v="2021-09-22T15:00:00"/>
    <s v="6615515の代替機"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0"/>
    <m/>
    <s v="菅原　隆"/>
    <m/>
    <m/>
    <s v="福山 公彦"/>
    <m/>
    <m/>
    <m/>
    <m/>
    <x v="0"/>
    <x v="3"/>
    <s v="SSD 256GB"/>
    <s v="8G"/>
    <s v="6615516"/>
    <s v="20T3S96F00"/>
    <s v="PC22KEEZ"/>
    <s v="第20次"/>
    <d v="2021-09-22T15:00:00"/>
    <m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1"/>
    <m/>
    <m/>
    <m/>
    <m/>
    <s v="森口 輝樹＜中野 治＜館 英一"/>
    <m/>
    <m/>
    <m/>
    <m/>
    <x v="0"/>
    <x v="3"/>
    <s v="SSD 256GB"/>
    <s v="8G"/>
    <s v="6545047"/>
    <s v="20T3S96F00"/>
    <s v="PC1ZR7CZ"/>
    <s v="第20次"/>
    <d v="2021-09-22T15:00:00"/>
    <s v="6615517の代替機"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2"/>
    <m/>
    <m/>
    <s v="h.hase@frontier-mgmt.com"/>
    <m/>
    <s v="本田 慎也＞日高 理香＞高橋 咲子&gt;中野 治&gt;長谷 東子"/>
    <m/>
    <m/>
    <m/>
    <m/>
    <x v="0"/>
    <x v="3"/>
    <s v="SSD 256GB"/>
    <s v="8G"/>
    <s v="6433479"/>
    <s v="20T3S96F00"/>
    <s v="PC1RSMDN"/>
    <s v="第20次"/>
    <d v="2021-09-22T15:00:00"/>
    <s v="6615551の代替機"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3"/>
    <m/>
    <s v="MC部門　大連NEUSOFT"/>
    <s v="MC_NS1@frontier-mgmt.com"/>
    <s v="特殊タスク"/>
    <s v="梶 元士→電源が入らない"/>
    <m/>
    <m/>
    <m/>
    <b v="0"/>
    <x v="2"/>
    <x v="3"/>
    <s v="SSD 256GB"/>
    <s v="8G"/>
    <s v="6615511"/>
    <s v="20T3S96F00"/>
    <s v="PC22KCTX"/>
    <s v="第20次"/>
    <d v="2021-09-22T15:00:00"/>
    <m/>
    <x v="6"/>
    <s v="（仮）横河レンタリース"/>
    <m/>
    <m/>
    <s v="買取PC　2024/9/22"/>
    <s v="D21-474"/>
    <s v="1210801215"/>
    <m/>
    <m/>
    <s v="3,850"/>
    <m/>
    <m/>
    <s v="WSUS対応予定"/>
    <m/>
    <s v="MC_NEUSOFT1@frontier-mgmt.com;#69"/>
    <s v="Neusoft;#69"/>
    <s v=""/>
    <s v=""/>
    <s v="【MC】Neusoft BPO;#69"/>
    <m/>
    <s v="アイテム"/>
    <s v="sites/itsupport/Lists/PC Flight 4"/>
  </r>
  <r>
    <s v="FMIPC1044"/>
    <m/>
    <s v="西野 元気"/>
    <m/>
    <m/>
    <m/>
    <m/>
    <m/>
    <m/>
    <m/>
    <x v="0"/>
    <x v="3"/>
    <s v="SSD 256GB"/>
    <s v="8G"/>
    <s v="6615553"/>
    <s v="20T3S96F00"/>
    <s v="PC22KEDF"/>
    <s v="第20次"/>
    <d v="2021-09-22T15:00:00"/>
    <m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5"/>
    <m/>
    <s v="西原 政雄"/>
    <m/>
    <m/>
    <s v="佐伯 明彦"/>
    <m/>
    <m/>
    <m/>
    <m/>
    <x v="0"/>
    <x v="3"/>
    <s v="SSD 256GB"/>
    <s v="8G"/>
    <s v="6615554"/>
    <s v="20T3S96F00"/>
    <s v="PC22KEFA"/>
    <s v="第20次"/>
    <d v="2021-09-22T15:00:00"/>
    <m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6"/>
    <m/>
    <s v="荻野　慎二郎"/>
    <m/>
    <m/>
    <s v="澤村 勇城"/>
    <m/>
    <m/>
    <m/>
    <m/>
    <x v="0"/>
    <x v="3"/>
    <s v="SSD 256GB"/>
    <s v="8G"/>
    <s v="6615555"/>
    <s v="20T3S96F00"/>
    <s v="PC22KEEW"/>
    <s v="第20次"/>
    <d v="2021-09-22T15:00:00"/>
    <m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7"/>
    <m/>
    <m/>
    <m/>
    <m/>
    <s v="木村 桃子＞津久井　陸＞内田 栄作&gt;伊藤 諭志"/>
    <m/>
    <m/>
    <m/>
    <m/>
    <x v="0"/>
    <x v="3"/>
    <s v="SSD 256GB"/>
    <s v="8G"/>
    <s v="6615503"/>
    <s v="20T3S96F00"/>
    <s v="PC22KBZC"/>
    <s v="第20次"/>
    <d v="2021-09-22T15:00:00"/>
    <s v="6615556の代替機"/>
    <x v="6"/>
    <m/>
    <m/>
    <m/>
    <m/>
    <s v="D21-474"/>
    <s v="1210801215"/>
    <m/>
    <m/>
    <m/>
    <m/>
    <m/>
    <m/>
    <m/>
    <s v=""/>
    <s v=""/>
    <s v=""/>
    <s v=""/>
    <s v=""/>
    <m/>
    <s v="アイテム"/>
    <s v="sites/itsupport/Lists/PC Flight 4"/>
  </r>
  <r>
    <s v="FMIPC1048"/>
    <m/>
    <s v="周 雷"/>
    <s v="l.zhou@frontier-mgmt.com"/>
    <s v="特殊タスク"/>
    <s v="ヴァンサン マリー"/>
    <m/>
    <m/>
    <m/>
    <b v="0"/>
    <x v="2"/>
    <x v="3"/>
    <s v="SSD 256GB"/>
    <s v="8G"/>
    <s v="6615557"/>
    <s v="20T3S96F00"/>
    <s v="PC22KEF6"/>
    <s v="第20次"/>
    <d v="2021-09-22T15:00:00"/>
    <s v="大連持ち帰り？"/>
    <x v="6"/>
    <s v="（仮）横河レンタリース"/>
    <m/>
    <m/>
    <s v="買取PC　2024/9/22"/>
    <s v="D21-474"/>
    <s v="1210801215"/>
    <m/>
    <m/>
    <s v="3,850"/>
    <m/>
    <m/>
    <s v="WSUS対応予定"/>
    <m/>
    <s v="l.zhou@frontier-mgmt.com;#62"/>
    <s v="Neusoft;#62"/>
    <s v="周;#62"/>
    <s v="雷;#62"/>
    <s v="【CS】Neusoft BPO;#62"/>
    <m/>
    <s v="アイテム"/>
    <s v="sites/itsupport/Lists/PC Flight 4"/>
  </r>
  <r>
    <s v="FMIPC1049"/>
    <m/>
    <s v="深夜勤務用PC3-5(CS)"/>
    <m/>
    <m/>
    <m/>
    <m/>
    <m/>
    <m/>
    <m/>
    <x v="0"/>
    <x v="3"/>
    <s v="SSD 256GB"/>
    <s v="8G"/>
    <s v="6546280"/>
    <s v="20T3S96F00"/>
    <s v="PC1ZR7DM"/>
    <m/>
    <d v="2019-05-14T15:00:00"/>
    <s v="6154720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50"/>
    <m/>
    <s v="深夜勤務用PC2-1(MC)"/>
    <m/>
    <m/>
    <m/>
    <m/>
    <m/>
    <m/>
    <m/>
    <x v="0"/>
    <x v="2"/>
    <s v="SSD 256GB"/>
    <s v="8G"/>
    <s v="6352707"/>
    <s v="20Q1S37F00"/>
    <s v="PC1HVZ9X"/>
    <m/>
    <d v="2019-05-14T15:00:00"/>
    <s v="6035009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51"/>
    <m/>
    <s v="深夜勤務用PC2-2(MC)"/>
    <m/>
    <m/>
    <m/>
    <m/>
    <m/>
    <m/>
    <m/>
    <x v="0"/>
    <x v="2"/>
    <s v="SSD 256GB"/>
    <s v="8G"/>
    <s v="6417844"/>
    <s v="20Q1S37F00"/>
    <s v="PC1K5CRV"/>
    <m/>
    <d v="2019-05-14T15:00:00"/>
    <s v="5574642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52"/>
    <m/>
    <s v="深夜勤務用PC2-3(MC)"/>
    <m/>
    <m/>
    <m/>
    <m/>
    <m/>
    <m/>
    <m/>
    <x v="0"/>
    <x v="2"/>
    <s v="SSD 256GB"/>
    <s v="8G"/>
    <s v="6417849"/>
    <s v="20Q1S37F00"/>
    <s v="PC1K5NDM"/>
    <m/>
    <d v="2019-05-14T15:00:00"/>
    <s v="5574632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53"/>
    <m/>
    <s v="NS黄(Neusoft大連送付-CS部門)"/>
    <s v="wuzhao@frontier-mgmt.com"/>
    <s v="特殊タスク"/>
    <m/>
    <m/>
    <m/>
    <m/>
    <b v="0"/>
    <x v="2"/>
    <x v="3"/>
    <s v="SSD 256GB"/>
    <s v="8G"/>
    <s v="6613088"/>
    <s v="20T3S96F00"/>
    <s v="PC22KBZA"/>
    <s v="第21次"/>
    <d v="2021-11-10T15:00:00"/>
    <m/>
    <x v="0"/>
    <s v="（仮）横河レンタリース"/>
    <m/>
    <m/>
    <s v="買取PC 2024/11/11"/>
    <s v="D21-624"/>
    <s v="1211010379"/>
    <m/>
    <m/>
    <s v="3,850"/>
    <m/>
    <m/>
    <s v="WSUS対応予定"/>
    <m/>
    <s v="huangyuying@frontier-mgmt.com;#65"/>
    <s v="Neusoft;#65"/>
    <s v="黄;#65"/>
    <s v="黄玉エイ;#65"/>
    <s v="【CS】Neusoft BPO;#65"/>
    <m/>
    <s v="アイテム"/>
    <s v="sites/itsupport/Lists/PC Flight 4"/>
  </r>
  <r>
    <s v="FMIPC1054"/>
    <m/>
    <s v="深夜勤務用PC2-4(MC)"/>
    <m/>
    <m/>
    <m/>
    <m/>
    <m/>
    <m/>
    <m/>
    <x v="0"/>
    <x v="3"/>
    <s v="SSD 256GB"/>
    <s v="8G"/>
    <s v="6613089"/>
    <s v="20T3S96F00"/>
    <s v="PC22KBZH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55"/>
    <m/>
    <s v="深夜勤務用PC2-5(CS)"/>
    <m/>
    <m/>
    <m/>
    <m/>
    <m/>
    <m/>
    <m/>
    <x v="0"/>
    <x v="3"/>
    <s v="SSD 256GB"/>
    <s v="8G"/>
    <s v="6613090"/>
    <s v="20T3S96F00"/>
    <s v="PC22KBY6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56"/>
    <m/>
    <m/>
    <m/>
    <m/>
    <s v="深夜勤務用PC3-1(CS)"/>
    <m/>
    <m/>
    <m/>
    <m/>
    <x v="0"/>
    <x v="3"/>
    <s v="SSD 256GB"/>
    <s v="8G"/>
    <s v="6613091"/>
    <s v="20T3S96F00"/>
    <s v="PC22KBZ6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57"/>
    <m/>
    <s v="深夜勤務用PC3-2(CS)"/>
    <m/>
    <m/>
    <m/>
    <m/>
    <m/>
    <m/>
    <m/>
    <x v="0"/>
    <x v="3"/>
    <s v="SSD 256GB"/>
    <s v="8G"/>
    <s v="6613092"/>
    <s v="20T3S96F00"/>
    <s v="PC22KBZ0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58"/>
    <m/>
    <s v="深夜勤務用PC3-3(CS)"/>
    <m/>
    <m/>
    <m/>
    <m/>
    <m/>
    <m/>
    <m/>
    <x v="0"/>
    <x v="3"/>
    <s v="SSD 256GB"/>
    <s v="8G"/>
    <s v="6613093"/>
    <s v="20T3S96F00"/>
    <s v="PC22KBYJ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59"/>
    <m/>
    <s v="呉 昭(Neusoft大連送付-CS部門)"/>
    <s v="wuzhao@frontier-mgmt.com"/>
    <s v="特殊タスク"/>
    <m/>
    <m/>
    <m/>
    <m/>
    <b v="0"/>
    <x v="2"/>
    <x v="3"/>
    <s v="SSD 256GB"/>
    <s v="8G"/>
    <s v="6613094"/>
    <s v="20T3S96F00"/>
    <s v="PC22KBZE"/>
    <s v="第21次"/>
    <d v="2021-11-10T15:00:00"/>
    <m/>
    <x v="0"/>
    <s v="（仮）横河レンタリース"/>
    <m/>
    <m/>
    <s v="買取PC 2024/11/11"/>
    <s v="D21-624"/>
    <s v="1211010379"/>
    <m/>
    <m/>
    <s v="3,850"/>
    <m/>
    <m/>
    <s v="WSUS対応予定"/>
    <m/>
    <s v="wuzhao@frontier-mgmt.com;#63"/>
    <s v="Neusoft;#63"/>
    <s v="呉;#63"/>
    <s v="昭;#63"/>
    <s v="【CS】Neusoft BPO;#63"/>
    <m/>
    <s v="アイテム"/>
    <s v="sites/itsupport/Lists/PC Flight 4"/>
  </r>
  <r>
    <s v="FMIPC1060"/>
    <m/>
    <m/>
    <m/>
    <m/>
    <s v="永田　武&lt;山本 佑紀"/>
    <m/>
    <m/>
    <m/>
    <m/>
    <x v="0"/>
    <x v="3"/>
    <s v="SSD 256GB"/>
    <s v="8G"/>
    <s v="6613095"/>
    <s v="20T3S96F00"/>
    <s v="PC22KBYK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1"/>
    <m/>
    <m/>
    <m/>
    <m/>
    <s v="大久保 文人＞日高 理香＞内山 裕美子&gt;手島 大地＞倉 盛楠"/>
    <m/>
    <m/>
    <m/>
    <m/>
    <x v="0"/>
    <x v="3"/>
    <s v="SSD 256GB"/>
    <s v="8G"/>
    <s v="6711798"/>
    <s v="20T3S96F00"/>
    <s v="PC26S9KX"/>
    <s v="第21次"/>
    <d v="2021-11-10T15:00:00"/>
    <s v="6424294の代替機,6613096の代替機、7170023の代替機"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2"/>
    <m/>
    <s v="結城 一磨"/>
    <m/>
    <m/>
    <m/>
    <m/>
    <m/>
    <m/>
    <m/>
    <x v="0"/>
    <x v="3"/>
    <s v="SSD 256GB"/>
    <s v="8G"/>
    <s v="6613097"/>
    <s v="20T3S96F00"/>
    <s v="PC22KBY9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3"/>
    <m/>
    <s v="笠谷 侑生②"/>
    <m/>
    <m/>
    <s v="石川 陽介"/>
    <m/>
    <m/>
    <m/>
    <m/>
    <x v="0"/>
    <x v="3"/>
    <s v="SSD 256GB"/>
    <s v="8G"/>
    <s v="6613098"/>
    <s v="20T3S96F00"/>
    <s v="PC22KBZM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4"/>
    <m/>
    <m/>
    <m/>
    <m/>
    <s v="網谷 宏繁＜松本 大輝＜小林 浩誉&lt;谷山 慎悟"/>
    <m/>
    <m/>
    <m/>
    <m/>
    <x v="0"/>
    <x v="3"/>
    <s v="SSD 256GB"/>
    <s v="8G"/>
    <s v="6613099"/>
    <s v="20T3S96F00"/>
    <s v="PC22KBZ7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5"/>
    <m/>
    <m/>
    <m/>
    <m/>
    <s v="横井 貴＜花生 洋平&lt;島木 優一&lt;若松 陽"/>
    <m/>
    <m/>
    <m/>
    <m/>
    <x v="0"/>
    <x v="3"/>
    <s v="SSD 256GB"/>
    <s v="8G"/>
    <s v="6613100"/>
    <s v="20T3S96F00"/>
    <s v="PC22KC07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6"/>
    <m/>
    <m/>
    <m/>
    <m/>
    <s v="照山 泰隆&lt;藤井 竣也"/>
    <m/>
    <m/>
    <m/>
    <m/>
    <x v="0"/>
    <x v="3"/>
    <s v="SSD 256GB"/>
    <s v="8G"/>
    <s v="6613105"/>
    <s v="20T3S96F00"/>
    <s v="PC22KBZP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7"/>
    <m/>
    <s v="奥山 昌幸様（RMD）"/>
    <m/>
    <m/>
    <s v="倉 盛楠&gt;梶 元士"/>
    <m/>
    <m/>
    <m/>
    <m/>
    <x v="0"/>
    <x v="3"/>
    <s v="SSD 256GB"/>
    <s v="8G"/>
    <s v="6613106"/>
    <s v="20T3S96F00"/>
    <s v="PC22KC05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68"/>
    <m/>
    <s v="高野　健悟"/>
    <m/>
    <m/>
    <s v="水杉 裕太＜松井 傑"/>
    <m/>
    <m/>
    <m/>
    <m/>
    <x v="0"/>
    <x v="3"/>
    <s v="SSD 256GB"/>
    <s v="8G"/>
    <s v="6613120"/>
    <s v="20T3S96F00"/>
    <s v="PC22KBZ2"/>
    <s v="第21次"/>
    <d v="2021-11-10T15:00:00"/>
    <m/>
    <x v="7"/>
    <m/>
    <m/>
    <m/>
    <m/>
    <s v="D21-624"/>
    <s v="1211010379"/>
    <s v="9月4日"/>
    <m/>
    <m/>
    <m/>
    <m/>
    <m/>
    <m/>
    <s v=""/>
    <s v=""/>
    <s v=""/>
    <s v=""/>
    <s v=""/>
    <m/>
    <s v="アイテム"/>
    <s v="sites/itsupport/Lists/PC Flight 4"/>
  </r>
  <r>
    <s v="FMIPC1069"/>
    <m/>
    <s v="山本 貴英"/>
    <m/>
    <m/>
    <m/>
    <m/>
    <m/>
    <m/>
    <m/>
    <x v="0"/>
    <x v="3"/>
    <s v="SSD 256GB"/>
    <s v="8G"/>
    <s v="6613121"/>
    <s v="20T3S96F00"/>
    <s v="PC22KBZS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70"/>
    <m/>
    <m/>
    <m/>
    <m/>
    <s v="梶 元士＜西川 円基"/>
    <m/>
    <m/>
    <m/>
    <m/>
    <x v="0"/>
    <x v="3"/>
    <s v="SSD 256GB"/>
    <s v="8G"/>
    <s v="6613122"/>
    <s v="20T3S96F00"/>
    <s v="PC22KC0G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71"/>
    <m/>
    <m/>
    <m/>
    <m/>
    <s v="伊藤 諭志&lt;井上 彩＜高橋　慶親＜細田 洋介"/>
    <m/>
    <m/>
    <m/>
    <m/>
    <x v="0"/>
    <x v="3"/>
    <s v="SSD 256GB"/>
    <s v="8G"/>
    <s v="6613125"/>
    <s v="20T3S96F00"/>
    <s v="PC22KBZV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72"/>
    <m/>
    <s v="仲谷　和浩"/>
    <m/>
    <m/>
    <s v="内田 栄作"/>
    <m/>
    <m/>
    <m/>
    <m/>
    <x v="0"/>
    <x v="3"/>
    <s v="SSD 256GB"/>
    <s v="8G"/>
    <s v="6613127"/>
    <s v="20T3S96F00"/>
    <s v="PC22KC0D"/>
    <s v="第21次"/>
    <d v="2021-11-10T15:00:00"/>
    <m/>
    <x v="7"/>
    <m/>
    <m/>
    <m/>
    <m/>
    <s v="D21-624"/>
    <s v="1211010379"/>
    <s v="9月5日"/>
    <m/>
    <m/>
    <m/>
    <m/>
    <m/>
    <m/>
    <s v=""/>
    <s v=""/>
    <s v=""/>
    <s v=""/>
    <s v=""/>
    <m/>
    <s v="アイテム"/>
    <s v="sites/itsupport/Lists/PC Flight 4"/>
  </r>
  <r>
    <s v="FMIPC1073"/>
    <m/>
    <s v="松岡 真宏（自宅用）"/>
    <s v="m.matsuoka@frontier-mgmt.com"/>
    <s v="特殊タスク"/>
    <m/>
    <m/>
    <m/>
    <m/>
    <b v="0"/>
    <x v="2"/>
    <x v="3"/>
    <s v="SSD 256GB"/>
    <s v="8G"/>
    <s v="6613128"/>
    <s v="20T3S96F00"/>
    <s v="PC22KBY4"/>
    <s v="第21次"/>
    <d v="2021-11-10T15:00:00"/>
    <m/>
    <x v="0"/>
    <s v="（仮）横河レンタリース"/>
    <m/>
    <m/>
    <s v="買取PC 2024/11/11"/>
    <s v="D21-624"/>
    <s v="1211010379"/>
    <m/>
    <m/>
    <s v="3,850"/>
    <m/>
    <m/>
    <s v="対応不要"/>
    <m/>
    <s v=""/>
    <s v=""/>
    <s v=""/>
    <s v=""/>
    <s v=""/>
    <m/>
    <s v="アイテム"/>
    <s v="sites/itsupport/Lists/PC Flight 4"/>
  </r>
  <r>
    <s v="FMIPC1074"/>
    <m/>
    <m/>
    <m/>
    <m/>
    <s v="倉 盛楠③＜井上 彩"/>
    <m/>
    <m/>
    <m/>
    <m/>
    <x v="0"/>
    <x v="3"/>
    <s v="SSD 256GB"/>
    <s v="8G"/>
    <s v="6613129"/>
    <s v="20T3S96F00"/>
    <s v="PC22KC04"/>
    <s v="第21次"/>
    <d v="2021-11-10T15:00:00"/>
    <m/>
    <x v="7"/>
    <m/>
    <m/>
    <m/>
    <m/>
    <s v="D21-624"/>
    <s v="1211010379"/>
    <m/>
    <m/>
    <m/>
    <m/>
    <m/>
    <m/>
    <m/>
    <s v=""/>
    <s v=""/>
    <s v=""/>
    <s v=""/>
    <s v=""/>
    <m/>
    <s v="アイテム"/>
    <s v="sites/itsupport/Lists/PC Flight 4"/>
  </r>
  <r>
    <s v="FMIPC1075"/>
    <m/>
    <s v="深夜勤務用PC3-4(CS)"/>
    <m/>
    <m/>
    <m/>
    <m/>
    <m/>
    <m/>
    <m/>
    <x v="0"/>
    <x v="2"/>
    <s v="SSD 256GB"/>
    <s v="8G"/>
    <s v="6111869"/>
    <s v="20Q1S37F00"/>
    <s v="PC1CWHWD"/>
    <m/>
    <d v="2019-05-14T15:00:00"/>
    <s v="5587525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76"/>
    <m/>
    <s v="永田 あやの"/>
    <m/>
    <m/>
    <m/>
    <m/>
    <m/>
    <m/>
    <b v="0"/>
    <x v="0"/>
    <x v="3"/>
    <s v="SSD 256GB"/>
    <s v="8G"/>
    <s v="6711744"/>
    <s v="20T3S96F00"/>
    <s v="PC26SABB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77"/>
    <m/>
    <m/>
    <m/>
    <m/>
    <s v="永澤 信見&lt;澤野 駿世＜匂坂 将人"/>
    <m/>
    <m/>
    <m/>
    <b v="0"/>
    <x v="0"/>
    <x v="3"/>
    <s v="SSD 256GB"/>
    <s v="8G"/>
    <s v="6711745"/>
    <s v="20T3S96F00"/>
    <s v="PC26SABG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78"/>
    <m/>
    <s v="野末 隼輝"/>
    <m/>
    <m/>
    <s v="佐藤　亘"/>
    <m/>
    <m/>
    <m/>
    <b v="0"/>
    <x v="0"/>
    <x v="3"/>
    <s v="SSD 256GB"/>
    <s v="8G"/>
    <s v="6711746"/>
    <s v="20T3S96F00"/>
    <s v="PC26SACG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79"/>
    <m/>
    <m/>
    <m/>
    <m/>
    <s v="長谷　東子&lt;キム ソヒ&lt;田辺 咲帆＜志賀 俊希"/>
    <m/>
    <m/>
    <m/>
    <b v="0"/>
    <x v="0"/>
    <x v="3"/>
    <s v="SSD 256GB"/>
    <s v="8G"/>
    <s v="6557245"/>
    <s v="20T3S96F00"/>
    <s v="PC１ZR7GF"/>
    <s v="第22次"/>
    <d v="2022-01-11T15:00:00"/>
    <s v="6711747の代替機　→ 6615551の代替機"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0"/>
    <m/>
    <s v="杉本 悠"/>
    <m/>
    <m/>
    <s v="　"/>
    <m/>
    <m/>
    <m/>
    <b v="0"/>
    <x v="0"/>
    <x v="3"/>
    <s v="SSD 256GB"/>
    <s v="8G"/>
    <s v="6711748"/>
    <s v="20T3S96F00"/>
    <s v="PC26S9KN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1"/>
    <m/>
    <s v="炭元 佑介"/>
    <m/>
    <m/>
    <m/>
    <m/>
    <m/>
    <m/>
    <b v="0"/>
    <x v="0"/>
    <x v="3"/>
    <s v="SSD 256GB"/>
    <s v="8G"/>
    <s v="6711749"/>
    <s v="20T3S96F00"/>
    <s v="PC26SAB1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2"/>
    <m/>
    <m/>
    <m/>
    <m/>
    <s v="山田 零&lt;中西 廉"/>
    <m/>
    <m/>
    <m/>
    <b v="0"/>
    <x v="0"/>
    <x v="3"/>
    <s v="SSD 256GB"/>
    <s v="8G"/>
    <s v="6711750"/>
    <s v="20T3S96F00"/>
    <s v="PC23LM4B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3"/>
    <m/>
    <s v="荒木 見潮"/>
    <m/>
    <m/>
    <s v="野末 隼輝"/>
    <m/>
    <m/>
    <m/>
    <b v="0"/>
    <x v="0"/>
    <x v="3"/>
    <s v="SSD 256GB"/>
    <s v="8G"/>
    <s v="6711751"/>
    <s v="20T3S96F00"/>
    <s v="PC23LM4A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4"/>
    <m/>
    <m/>
    <m/>
    <m/>
    <s v="門脇 由李子＜野村 大善"/>
    <m/>
    <m/>
    <m/>
    <b v="0"/>
    <x v="0"/>
    <x v="3"/>
    <s v="SSD 256GB"/>
    <s v="8G"/>
    <s v="6711752"/>
    <s v="20T3S96F00"/>
    <s v="PC26S9JS"/>
    <s v="第22次"/>
    <d v="2022-01-11T15:00:00"/>
    <m/>
    <x v="8"/>
    <m/>
    <m/>
    <m/>
    <m/>
    <s v="D21-732"/>
    <s v="1211207772"/>
    <m/>
    <m/>
    <m/>
    <m/>
    <m/>
    <m/>
    <m/>
    <s v=""/>
    <s v=""/>
    <s v=""/>
    <s v=""/>
    <s v=""/>
    <m/>
    <s v="アイテム"/>
    <s v="sites/itsupport/Lists/PC Flight 4"/>
  </r>
  <r>
    <s v="FMIPC1085"/>
    <m/>
    <s v="杜 寧(Neusoft大連送付-CS部門)"/>
    <s v="du.n@frontier-mgmt.com"/>
    <s v="特殊タスク"/>
    <s v="安岡 祐介"/>
    <m/>
    <m/>
    <m/>
    <b v="0"/>
    <x v="2"/>
    <x v="3"/>
    <s v="SSD 256GB"/>
    <s v="8G"/>
    <s v="6711762"/>
    <s v="20T3S96F00"/>
    <s v="PC26S9JA"/>
    <s v="第22次"/>
    <d v="2022-01-11T15:00:00"/>
    <m/>
    <x v="8"/>
    <s v="（仮）横河レンタリース"/>
    <m/>
    <m/>
    <s v="買取予定（2025年）"/>
    <s v="D21-732"/>
    <s v="1211207772"/>
    <m/>
    <m/>
    <s v="3,850"/>
    <m/>
    <m/>
    <s v="WSUS対応予定"/>
    <m/>
    <s v="du.n@frontier-mgmt.com;#76"/>
    <s v="Neusoft;#76"/>
    <s v="杜;#76"/>
    <s v="寧;#76"/>
    <s v="【CS】Neusoft BPO;#76"/>
    <m/>
    <s v="アイテム"/>
    <s v="sites/itsupport/Lists/PC Flight 4"/>
  </r>
  <r>
    <s v="FMIPC1086"/>
    <m/>
    <s v="佐藤　彩花"/>
    <m/>
    <m/>
    <s v="水野　親子"/>
    <m/>
    <m/>
    <m/>
    <m/>
    <x v="0"/>
    <x v="2"/>
    <s v="SSD 256GB"/>
    <s v="8G"/>
    <s v="6009623"/>
    <s v="20Q1S37F00"/>
    <s v="PC1B2G4Y"/>
    <m/>
    <d v="2019-05-14T15:00:00"/>
    <s v="5574670の代替機"/>
    <x v="1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087"/>
    <m/>
    <s v="柴田 隆治"/>
    <m/>
    <m/>
    <s v="リー ダニエル"/>
    <m/>
    <m/>
    <m/>
    <b v="0"/>
    <x v="0"/>
    <x v="3"/>
    <s v="SSD 256GB"/>
    <s v="8G"/>
    <s v="6562741"/>
    <s v="20T3S96F00"/>
    <s v="PC1ZR7GX"/>
    <s v="第24次"/>
    <d v="2022-03-31T15:00:00"/>
    <m/>
    <x v="9"/>
    <m/>
    <m/>
    <m/>
    <m/>
    <s v="D22-161"/>
    <s v="1220311670"/>
    <s v="8月27日"/>
    <m/>
    <s v="4,030"/>
    <m/>
    <m/>
    <m/>
    <m/>
    <s v=""/>
    <s v=""/>
    <s v=""/>
    <s v=""/>
    <s v=""/>
    <m/>
    <s v="アイテム"/>
    <s v="sites/itsupport/Lists/PC Flight 4"/>
  </r>
  <r>
    <s v="FMIPC1088"/>
    <m/>
    <s v="宮本 知篤"/>
    <m/>
    <m/>
    <m/>
    <m/>
    <m/>
    <m/>
    <b v="0"/>
    <x v="0"/>
    <x v="3"/>
    <s v="SSD 256GB"/>
    <s v="8G"/>
    <s v="6562742"/>
    <s v="20T3S96F00"/>
    <s v="PC1ZR7GZ"/>
    <s v="第24次"/>
    <d v="2022-03-31T15:00:00"/>
    <m/>
    <x v="9"/>
    <m/>
    <m/>
    <m/>
    <m/>
    <s v="D22-161"/>
    <s v="1220311670"/>
    <m/>
    <m/>
    <s v="4,030"/>
    <m/>
    <m/>
    <m/>
    <m/>
    <s v=""/>
    <s v=""/>
    <s v=""/>
    <s v=""/>
    <s v=""/>
    <m/>
    <s v="アイテム"/>
    <s v="sites/itsupport/Lists/PC Flight 4"/>
  </r>
  <r>
    <s v="FMIPC1089"/>
    <m/>
    <s v="越田 潤平"/>
    <m/>
    <m/>
    <s v="菅沼　大起"/>
    <m/>
    <m/>
    <m/>
    <b v="0"/>
    <x v="0"/>
    <x v="3"/>
    <s v="SSD 256GB"/>
    <s v="8G"/>
    <s v="6562743"/>
    <s v="20T3S96F00"/>
    <s v="PC1ZTC3G"/>
    <s v="第24次"/>
    <d v="2022-03-31T15:00:00"/>
    <m/>
    <x v="9"/>
    <m/>
    <m/>
    <m/>
    <m/>
    <s v="D22-161"/>
    <s v="1220311670"/>
    <m/>
    <m/>
    <s v="4,030"/>
    <m/>
    <m/>
    <m/>
    <m/>
    <s v=""/>
    <s v=""/>
    <s v=""/>
    <s v=""/>
    <s v=""/>
    <m/>
    <s v="アイテム"/>
    <s v="sites/itsupport/Lists/PC Flight 4"/>
  </r>
  <r>
    <s v="FMIPC1090"/>
    <m/>
    <s v="武田　奈津未"/>
    <m/>
    <m/>
    <m/>
    <m/>
    <m/>
    <m/>
    <b v="0"/>
    <x v="0"/>
    <x v="3"/>
    <s v="SSD 256GB"/>
    <s v="8G"/>
    <s v="6562744"/>
    <s v="20T3S96F00"/>
    <s v="PC1ZTC1A"/>
    <s v="第24次"/>
    <d v="2022-03-31T15:00:00"/>
    <m/>
    <x v="9"/>
    <m/>
    <m/>
    <m/>
    <m/>
    <s v="D22-161"/>
    <s v="1220311670"/>
    <m/>
    <m/>
    <s v="4,030"/>
    <m/>
    <m/>
    <m/>
    <m/>
    <s v=""/>
    <s v=""/>
    <s v=""/>
    <s v=""/>
    <s v=""/>
    <m/>
    <s v="アイテム"/>
    <s v="sites/itsupport/Lists/PC Flight 4"/>
  </r>
  <r>
    <s v="FMIPC1091"/>
    <m/>
    <s v="野村 大善"/>
    <m/>
    <m/>
    <s v="山口　議貴＜小石　彩萌"/>
    <m/>
    <m/>
    <m/>
    <b v="0"/>
    <x v="0"/>
    <x v="3"/>
    <s v="SSD 256GB"/>
    <s v="8G"/>
    <s v="6562756"/>
    <s v="20T3S96F00"/>
    <s v="PC1ZR7G9"/>
    <s v="第24次"/>
    <d v="2022-03-31T15:00:00"/>
    <m/>
    <x v="9"/>
    <m/>
    <m/>
    <m/>
    <m/>
    <s v="D22-161"/>
    <s v="1220311670"/>
    <s v="8月30日"/>
    <m/>
    <s v="4,030"/>
    <m/>
    <m/>
    <m/>
    <m/>
    <s v=""/>
    <s v=""/>
    <s v=""/>
    <s v=""/>
    <s v=""/>
    <m/>
    <s v="アイテム"/>
    <s v="sites/itsupport/Lists/PC Flight 4"/>
  </r>
  <r>
    <s v="FMIPC1092"/>
    <m/>
    <m/>
    <m/>
    <m/>
    <s v="齋藤　紘樹"/>
    <m/>
    <m/>
    <m/>
    <b v="0"/>
    <x v="0"/>
    <x v="3"/>
    <s v="SSD 256GB"/>
    <s v="8G"/>
    <s v="6562757"/>
    <s v="20T3S96F00"/>
    <s v="PC1ZR7CQ"/>
    <s v="第24次"/>
    <d v="2022-03-31T15:00:00"/>
    <m/>
    <x v="9"/>
    <m/>
    <m/>
    <m/>
    <m/>
    <s v="D22-161"/>
    <s v="1220311670"/>
    <m/>
    <m/>
    <s v="4,030"/>
    <m/>
    <m/>
    <m/>
    <m/>
    <s v=""/>
    <s v=""/>
    <s v=""/>
    <s v=""/>
    <s v=""/>
    <m/>
    <s v="アイテム"/>
    <s v="sites/itsupport/Lists/PC Flight 4"/>
  </r>
  <r>
    <s v="FMIPC1093"/>
    <m/>
    <s v="細田 義晃"/>
    <m/>
    <m/>
    <s v="上野 貴子＜軽部　朋子"/>
    <m/>
    <m/>
    <m/>
    <b v="0"/>
    <x v="0"/>
    <x v="3"/>
    <s v="SSD 256GB"/>
    <s v="8G"/>
    <s v="6615520"/>
    <s v="20T3S96F00"/>
    <s v="PC22KEEJ"/>
    <s v="第24次"/>
    <d v="2022-04-01T15:00:00"/>
    <m/>
    <x v="9"/>
    <m/>
    <m/>
    <m/>
    <m/>
    <s v="D22-161"/>
    <s v="1220311670"/>
    <m/>
    <m/>
    <s v="4,030"/>
    <m/>
    <m/>
    <m/>
    <m/>
    <s v=""/>
    <s v=""/>
    <s v=""/>
    <s v=""/>
    <s v=""/>
    <m/>
    <s v="アイテム"/>
    <s v="sites/itsupport/Lists/PC Flight 4"/>
  </r>
  <r>
    <s v="FMIPC1094"/>
    <m/>
    <s v="西川 円基"/>
    <m/>
    <m/>
    <s v="清村　一仁"/>
    <m/>
    <m/>
    <m/>
    <b v="0"/>
    <x v="0"/>
    <x v="3"/>
    <s v="SSD 256GB"/>
    <s v="8G"/>
    <s v="6414364"/>
    <s v="20T3S96F00"/>
    <s v="PC1QYC64"/>
    <s v="第25次"/>
    <d v="2022-05-15T15:00:00"/>
    <m/>
    <x v="10"/>
    <m/>
    <m/>
    <m/>
    <m/>
    <s v="D22-234"/>
    <s v="_x0009_01220407327"/>
    <m/>
    <m/>
    <s v="4,030"/>
    <m/>
    <m/>
    <m/>
    <m/>
    <s v=""/>
    <s v=""/>
    <s v=""/>
    <s v=""/>
    <s v=""/>
    <m/>
    <s v="アイテム"/>
    <s v="sites/itsupport/Lists/PC Flight 4"/>
  </r>
  <r>
    <s v="FMIPC1095"/>
    <m/>
    <s v="冨士田　裕"/>
    <m/>
    <m/>
    <s v="瀧川　幸平"/>
    <m/>
    <m/>
    <m/>
    <b v="0"/>
    <x v="0"/>
    <x v="3"/>
    <s v="SSD 256GB"/>
    <s v="8G"/>
    <s v="6414366"/>
    <s v="20T3S96F00"/>
    <s v="PC1QYC76"/>
    <s v="第25次"/>
    <d v="2022-05-15T15:00:00"/>
    <m/>
    <x v="10"/>
    <m/>
    <m/>
    <m/>
    <m/>
    <s v="D22-234"/>
    <s v="_x0009_01220407327"/>
    <m/>
    <m/>
    <s v="4,030"/>
    <m/>
    <m/>
    <m/>
    <m/>
    <s v=""/>
    <s v=""/>
    <s v=""/>
    <s v=""/>
    <s v=""/>
    <m/>
    <s v="アイテム"/>
    <s v="sites/itsupport/Lists/PC Flight 4"/>
  </r>
  <r>
    <s v="FMIPC1096"/>
    <m/>
    <m/>
    <m/>
    <m/>
    <s v="上村　宗貴"/>
    <m/>
    <m/>
    <m/>
    <b v="0"/>
    <x v="0"/>
    <x v="3"/>
    <s v="SSD 256GB"/>
    <s v="8G"/>
    <s v="6433665"/>
    <s v="20T3S96F00"/>
    <s v="PC1SGRR3"/>
    <s v="第25次"/>
    <d v="2022-05-15T15:00:00"/>
    <m/>
    <x v="10"/>
    <m/>
    <m/>
    <m/>
    <m/>
    <s v="D22-234"/>
    <s v="_x0009_01220407327"/>
    <m/>
    <m/>
    <s v="4,030"/>
    <m/>
    <m/>
    <m/>
    <m/>
    <s v=""/>
    <s v=""/>
    <s v=""/>
    <s v=""/>
    <s v=""/>
    <m/>
    <s v="アイテム"/>
    <s v="sites/itsupport/Lists/PC Flight 4"/>
  </r>
  <r>
    <s v="FMIPC1097"/>
    <m/>
    <s v="岡本 はな"/>
    <m/>
    <m/>
    <s v="宮本　知篤"/>
    <m/>
    <m/>
    <m/>
    <b v="0"/>
    <x v="0"/>
    <x v="3"/>
    <s v="SSD 256GB"/>
    <s v="8G"/>
    <s v="6611830"/>
    <s v="20T3S96F00"/>
    <s v="PC22K9VS"/>
    <s v="第25次"/>
    <d v="2022-05-15T15:00:00"/>
    <s v="6611873の代替機"/>
    <x v="10"/>
    <m/>
    <m/>
    <m/>
    <m/>
    <s v="D22-234"/>
    <s v="_x0009_01220407327"/>
    <m/>
    <m/>
    <s v="4,030"/>
    <m/>
    <m/>
    <m/>
    <m/>
    <s v=""/>
    <s v=""/>
    <s v=""/>
    <s v=""/>
    <s v=""/>
    <m/>
    <s v="アイテム"/>
    <s v="sites/itsupport/Lists/PC Flight 4"/>
  </r>
  <r>
    <s v="FMIPC1098"/>
    <m/>
    <m/>
    <m/>
    <m/>
    <s v="山内 舜太 &lt; 岡本　はな"/>
    <m/>
    <m/>
    <m/>
    <b v="0"/>
    <x v="0"/>
    <x v="3"/>
    <s v="SSD 256GB"/>
    <s v="8G"/>
    <s v="6414358"/>
    <s v="20T3S96F00"/>
    <s v="PC1QYC66"/>
    <s v="第25次"/>
    <d v="2022-05-15T15:00:00"/>
    <s v="6711787の代替機"/>
    <x v="10"/>
    <m/>
    <m/>
    <m/>
    <m/>
    <s v="D22-234"/>
    <s v="_x0009_01220407327"/>
    <m/>
    <m/>
    <s v="4,030"/>
    <m/>
    <m/>
    <m/>
    <m/>
    <s v=""/>
    <s v=""/>
    <s v=""/>
    <s v=""/>
    <s v=""/>
    <m/>
    <s v="アイテム"/>
    <s v="sites/itsupport/Lists/PC Flight 4"/>
  </r>
  <r>
    <s v="FMIPC1099"/>
    <m/>
    <m/>
    <m/>
    <m/>
    <s v="山本 崇了＜櫻井　恵"/>
    <m/>
    <m/>
    <m/>
    <b v="0"/>
    <x v="0"/>
    <x v="3"/>
    <s v="SSD 256GB"/>
    <s v="8G"/>
    <s v="6611855"/>
    <s v="20T3S96F00"/>
    <s v="PC22K9VJ"/>
    <s v="第27次"/>
    <d v="2022-06-19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0"/>
    <m/>
    <s v="松井 傑"/>
    <m/>
    <m/>
    <s v="福田　佑也"/>
    <m/>
    <m/>
    <m/>
    <b v="0"/>
    <x v="0"/>
    <x v="3"/>
    <s v="SSD 256GB"/>
    <s v="8G"/>
    <s v="6711725"/>
    <s v="20T3S96F00"/>
    <s v="PC26SAB2"/>
    <s v="第27次"/>
    <d v="2022-06-19T15:00:00"/>
    <s v="6744509の代替"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1"/>
    <m/>
    <s v="江幡 春香"/>
    <m/>
    <m/>
    <s v="具　成宙"/>
    <m/>
    <m/>
    <m/>
    <b v="0"/>
    <x v="0"/>
    <x v="3"/>
    <s v="SSD 256GB"/>
    <s v="8G"/>
    <s v="6744513"/>
    <s v="20T3S96F00"/>
    <s v="PC26SAC3"/>
    <s v="第27次"/>
    <d v="2022-06-19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2"/>
    <m/>
    <s v="中西 祐二"/>
    <m/>
    <m/>
    <s v="川岡　仁"/>
    <m/>
    <m/>
    <m/>
    <b v="0"/>
    <x v="0"/>
    <x v="3"/>
    <s v="SSD 256GB"/>
    <s v="8G"/>
    <s v="6744523"/>
    <s v="20T3S96F00"/>
    <s v="PC26S9K8"/>
    <s v="第27次"/>
    <d v="2022-06-19T15:00:00"/>
    <m/>
    <x v="11"/>
    <m/>
    <m/>
    <m/>
    <m/>
    <s v="D22-298"/>
    <s v="1220507187"/>
    <s v="9月4日"/>
    <m/>
    <s v="4,030"/>
    <m/>
    <m/>
    <m/>
    <m/>
    <s v=""/>
    <s v=""/>
    <s v=""/>
    <s v=""/>
    <s v=""/>
    <m/>
    <s v="アイテム"/>
    <s v="sites/itsupport/Lists/PC Flight 4"/>
  </r>
  <r>
    <s v="FMIPC1103"/>
    <m/>
    <m/>
    <m/>
    <m/>
    <s v="中島 史博&lt;長谷　東子"/>
    <m/>
    <m/>
    <m/>
    <b v="0"/>
    <x v="0"/>
    <x v="3"/>
    <s v="SSD 256GB"/>
    <s v="8G"/>
    <s v="7170019"/>
    <s v="20T3S96F00"/>
    <s v="PC26SACP"/>
    <s v="第27次"/>
    <d v="2022-06-19T15:00:00"/>
    <s v="6744530の代替機"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4"/>
    <m/>
    <s v="村田 六花乃"/>
    <m/>
    <m/>
    <s v="長森 建旺＜山本 雪代&lt;千葉　拓也"/>
    <m/>
    <m/>
    <m/>
    <b v="0"/>
    <x v="0"/>
    <x v="3"/>
    <s v="SSD 256GB"/>
    <s v="8G"/>
    <s v="6744531"/>
    <s v="20T3S96F00"/>
    <s v="PC26SABE"/>
    <s v="第27次"/>
    <d v="2022-06-19T15:00:00"/>
    <m/>
    <x v="11"/>
    <m/>
    <m/>
    <m/>
    <m/>
    <s v="D22-298"/>
    <s v="1220507187"/>
    <s v="8月27日"/>
    <m/>
    <s v="4,030"/>
    <m/>
    <m/>
    <m/>
    <m/>
    <s v=""/>
    <s v=""/>
    <s v=""/>
    <s v=""/>
    <s v=""/>
    <m/>
    <s v="アイテム"/>
    <s v="sites/itsupport/Lists/PC Flight 4"/>
  </r>
  <r>
    <s v="FMIPC1105"/>
    <m/>
    <s v="劉 雅琪"/>
    <m/>
    <m/>
    <s v="村田 六花乃＜西原 政雄&lt;粟野　悠希"/>
    <m/>
    <m/>
    <m/>
    <b v="0"/>
    <x v="0"/>
    <x v="3"/>
    <s v="SSD 256GB"/>
    <s v="8G"/>
    <s v="6744534"/>
    <s v="20T3S96F00"/>
    <s v="PC26SACA"/>
    <s v="第27次"/>
    <d v="2022-06-19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6"/>
    <m/>
    <s v="大連人事総務用"/>
    <s v="y.ai@frontier-mgmt.com"/>
    <s v="特殊タスク"/>
    <s v="仲谷　和浩"/>
    <m/>
    <m/>
    <m/>
    <b v="0"/>
    <x v="2"/>
    <x v="3"/>
    <s v="SSD 256GB"/>
    <s v="8G"/>
    <s v="6744521"/>
    <s v="20T3S96F00"/>
    <s v="PC26SACM"/>
    <s v="第27次"/>
    <d v="2022-06-19T15:00:00"/>
    <m/>
    <x v="11"/>
    <s v="（仮）横河レンタリース"/>
    <m/>
    <m/>
    <s v="買取予定（2025年）"/>
    <s v="D22-298"/>
    <s v="1220507187"/>
    <m/>
    <m/>
    <s v="4,030"/>
    <m/>
    <m/>
    <s v="WSUS対応予定"/>
    <m/>
    <s v="y.ai@frontier-mgmt.com;#178"/>
    <s v="Neusoft;#178"/>
    <s v="艾;#178"/>
    <s v="莹;#178"/>
    <s v="NS 人事総務業務;#178"/>
    <m/>
    <s v="アイテム"/>
    <s v="sites/itsupport/Lists/PC Flight 4"/>
  </r>
  <r>
    <s v="FMIPC1107"/>
    <m/>
    <s v="中島　史博"/>
    <m/>
    <m/>
    <s v="四戸　和徳＜花房一億"/>
    <m/>
    <m/>
    <m/>
    <b v="0"/>
    <x v="0"/>
    <x v="3"/>
    <s v="SSD 256GB"/>
    <s v="8G"/>
    <s v="6611834"/>
    <s v="20T3S96F00"/>
    <s v="PC22K9TX"/>
    <s v="第27次"/>
    <d v="2022-06-19T15:00:00"/>
    <s v="6744533の代替機"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08"/>
    <m/>
    <s v="谷山　慎悟②"/>
    <m/>
    <m/>
    <s v="越田 淳平"/>
    <m/>
    <m/>
    <m/>
    <b v="0"/>
    <x v="0"/>
    <x v="3"/>
    <s v="SSD 256GB"/>
    <s v="8G"/>
    <s v="6744519"/>
    <s v="20T3S96F00"/>
    <s v="PC26SAB6"/>
    <s v="第26次"/>
    <d v="2022-06-19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09"/>
    <m/>
    <s v="淺海 充正"/>
    <m/>
    <m/>
    <s v="細川 拓哉&lt;成田 陽一"/>
    <m/>
    <m/>
    <m/>
    <b v="0"/>
    <x v="0"/>
    <x v="3"/>
    <s v="SSD 256GB"/>
    <s v="8G"/>
    <s v="6744520"/>
    <s v="20T3S96F00"/>
    <s v="PC23JGYC"/>
    <s v="第26次"/>
    <d v="2022-05-31T15:00:00"/>
    <m/>
    <x v="12"/>
    <m/>
    <m/>
    <m/>
    <m/>
    <s v="D22-297"/>
    <s v="_x0009_01220507180"/>
    <s v="8月27日"/>
    <m/>
    <s v="4,030"/>
    <m/>
    <m/>
    <m/>
    <m/>
    <s v=""/>
    <s v=""/>
    <s v=""/>
    <s v=""/>
    <s v=""/>
    <m/>
    <s v="アイテム"/>
    <s v="sites/itsupport/Lists/PC Flight 4"/>
  </r>
  <r>
    <s v="FMIPC1110"/>
    <m/>
    <s v="西尾 康汰"/>
    <m/>
    <m/>
    <m/>
    <m/>
    <m/>
    <m/>
    <b v="0"/>
    <x v="0"/>
    <x v="3"/>
    <s v="SSD 256GB"/>
    <s v="8G"/>
    <s v="6744522"/>
    <s v="20T3S96F00"/>
    <s v="PC26SABW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11"/>
    <m/>
    <s v="高橋 信之"/>
    <m/>
    <m/>
    <s v="関 友洋"/>
    <m/>
    <m/>
    <m/>
    <b v="0"/>
    <x v="0"/>
    <x v="3"/>
    <s v="SSD 256GB"/>
    <s v="8G"/>
    <s v="6744524"/>
    <s v="20T3S96F00"/>
    <s v="PC26SACJ"/>
    <s v="第26次"/>
    <d v="2022-05-31T15:00:00"/>
    <m/>
    <x v="12"/>
    <m/>
    <m/>
    <m/>
    <m/>
    <s v="D22-297"/>
    <s v="_x0009_01220507180"/>
    <s v="8月29日"/>
    <m/>
    <s v="4,030"/>
    <m/>
    <m/>
    <m/>
    <m/>
    <s v=""/>
    <s v=""/>
    <s v=""/>
    <s v=""/>
    <s v=""/>
    <m/>
    <s v="アイテム"/>
    <s v="sites/itsupport/Lists/PC Flight 4"/>
  </r>
  <r>
    <s v="FMIPC1112"/>
    <m/>
    <s v="松永 幸大"/>
    <m/>
    <m/>
    <s v="西村 彦希&lt;山森 風季＜長谷川 貴史"/>
    <m/>
    <m/>
    <m/>
    <b v="0"/>
    <x v="0"/>
    <x v="3"/>
    <s v="SSD 256GB"/>
    <s v="8G"/>
    <s v="6744527"/>
    <s v="20T3S96F00"/>
    <s v="PC26SAAL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13"/>
    <m/>
    <s v="北村 弘"/>
    <m/>
    <m/>
    <m/>
    <m/>
    <m/>
    <m/>
    <b v="0"/>
    <x v="0"/>
    <x v="3"/>
    <s v="SSD 256GB"/>
    <s v="8G"/>
    <s v="6744577"/>
    <s v="20T3S96F00"/>
    <s v="PC26SAAL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14"/>
    <m/>
    <s v="高村 諒"/>
    <m/>
    <m/>
    <s v="高橋 信之"/>
    <m/>
    <m/>
    <m/>
    <b v="0"/>
    <x v="0"/>
    <x v="3"/>
    <s v="SSD 256GB"/>
    <s v="8G"/>
    <s v="6433420"/>
    <s v="20T3S96F00"/>
    <s v="PC1RSMEM"/>
    <s v="第26次"/>
    <d v="2022-05-31T15:00:00"/>
    <m/>
    <x v="12"/>
    <m/>
    <m/>
    <m/>
    <m/>
    <s v="D22-297"/>
    <s v="_x0009_01220507180"/>
    <s v="9月5日"/>
    <m/>
    <s v="4,030"/>
    <m/>
    <m/>
    <m/>
    <m/>
    <s v=""/>
    <s v=""/>
    <s v=""/>
    <s v=""/>
    <s v=""/>
    <m/>
    <s v="アイテム"/>
    <s v="sites/itsupport/Lists/PC Flight 4"/>
  </r>
  <r>
    <s v="FMIPC1115"/>
    <m/>
    <s v="櫻井　恵"/>
    <m/>
    <m/>
    <s v="村田 六花乃"/>
    <m/>
    <m/>
    <m/>
    <b v="0"/>
    <x v="0"/>
    <x v="3"/>
    <s v="SSD 256GB"/>
    <s v="8G"/>
    <s v="6615508"/>
    <s v="20T3S96F00"/>
    <s v="PC22k9TK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16"/>
    <m/>
    <m/>
    <m/>
    <m/>
    <s v="淺海 充正&lt;清村　一仁"/>
    <m/>
    <m/>
    <m/>
    <b v="0"/>
    <x v="0"/>
    <x v="3"/>
    <s v="SSD 256GB"/>
    <s v="8G"/>
    <s v="6744510"/>
    <s v="20T3S96F00"/>
    <s v="PC26SAC9"/>
    <s v="第27次"/>
    <d v="2022-05-31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17"/>
    <m/>
    <s v="深夜勤務用PC1-4(MC)"/>
    <m/>
    <m/>
    <m/>
    <m/>
    <m/>
    <m/>
    <b v="0"/>
    <x v="0"/>
    <x v="3"/>
    <s v="SSD 256GB"/>
    <s v="8G"/>
    <s v="6744511"/>
    <s v="20T3S96F00"/>
    <s v="PC26SAB0"/>
    <s v="第27次"/>
    <d v="2022-05-31T15:00:00"/>
    <m/>
    <x v="11"/>
    <s v="（仮）横河レンタリース"/>
    <m/>
    <m/>
    <s v="返却済 2024/11/14"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18"/>
    <m/>
    <s v="中西 廉"/>
    <m/>
    <m/>
    <s v="五十嵐　幹直"/>
    <m/>
    <m/>
    <m/>
    <b v="0"/>
    <x v="0"/>
    <x v="3"/>
    <s v="SSD 256GB"/>
    <s v="8G"/>
    <s v="6744508"/>
    <s v="20T3S96F00"/>
    <s v="PC26SAB8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19"/>
    <m/>
    <s v="益田 実己也"/>
    <m/>
    <m/>
    <s v="倉 盛楠②"/>
    <m/>
    <m/>
    <m/>
    <b v="0"/>
    <x v="0"/>
    <x v="3"/>
    <s v="SSD 256GB"/>
    <s v="8G"/>
    <s v="6744512"/>
    <s v="20T3S96F00"/>
    <s v="PC23YAZB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20"/>
    <m/>
    <s v="森川 伸恵"/>
    <m/>
    <m/>
    <m/>
    <m/>
    <m/>
    <m/>
    <b v="0"/>
    <x v="0"/>
    <x v="3"/>
    <s v="SSD 256GB"/>
    <s v="8G"/>
    <s v="6744514"/>
    <s v="20T3S96F00"/>
    <s v="PC26SA9T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21"/>
    <m/>
    <s v="森 和樹"/>
    <m/>
    <m/>
    <s v="廣瀬 幸太"/>
    <m/>
    <m/>
    <m/>
    <b v="0"/>
    <x v="0"/>
    <x v="3"/>
    <s v="SSD 256GB"/>
    <s v="8G"/>
    <s v="6744525"/>
    <s v="20T3S96F00"/>
    <s v="PC26SAAN"/>
    <s v="第27次"/>
    <d v="2022-05-31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22"/>
    <m/>
    <s v="奥村 萌子"/>
    <m/>
    <m/>
    <m/>
    <m/>
    <m/>
    <m/>
    <b v="0"/>
    <x v="0"/>
    <x v="3"/>
    <s v="SSD 256GB"/>
    <s v="8G"/>
    <s v="6744526"/>
    <s v="20T3S96F00"/>
    <s v="PC26SAB4"/>
    <s v="第27次"/>
    <d v="2022-05-31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23"/>
    <m/>
    <m/>
    <m/>
    <m/>
    <s v="長田 逸平&lt;中野 功揮"/>
    <m/>
    <m/>
    <m/>
    <b v="0"/>
    <x v="0"/>
    <x v="3"/>
    <s v="SSD 256GB"/>
    <s v="8G"/>
    <s v="6421261"/>
    <s v="20T3S96F00"/>
    <s v="PC1SGPA9"/>
    <s v="第27次"/>
    <d v="2022-05-31T15:00:00"/>
    <s v="6613070の代替品&lt;6744529の代替品"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24"/>
    <m/>
    <s v="中島 拓海"/>
    <m/>
    <m/>
    <m/>
    <m/>
    <m/>
    <m/>
    <b v="0"/>
    <x v="0"/>
    <x v="3"/>
    <s v="SSD 256GB"/>
    <s v="8G"/>
    <s v="6744515"/>
    <s v="20T3S96F00"/>
    <s v="PC26SACL"/>
    <s v="第26次"/>
    <d v="2022-05-31T15:00:00"/>
    <s v="壊れかけているので早く交換したい"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25"/>
    <m/>
    <s v="小原 慎平"/>
    <m/>
    <m/>
    <m/>
    <m/>
    <m/>
    <m/>
    <b v="0"/>
    <x v="0"/>
    <x v="3"/>
    <s v="SSD 256GB"/>
    <s v="8G"/>
    <s v="6744516"/>
    <s v="20T3S96F00"/>
    <s v="PC26SACK"/>
    <s v="第26次"/>
    <d v="2022-05-31T15:00:00"/>
    <m/>
    <x v="12"/>
    <m/>
    <m/>
    <m/>
    <m/>
    <s v="D22-297"/>
    <s v="_x0009_01220507180"/>
    <s v="9月3日"/>
    <m/>
    <s v="4,030"/>
    <m/>
    <m/>
    <m/>
    <m/>
    <s v=""/>
    <s v=""/>
    <s v=""/>
    <s v=""/>
    <s v=""/>
    <m/>
    <s v="アイテム"/>
    <s v="sites/itsupport/Lists/PC Flight 4"/>
  </r>
  <r>
    <s v="FMIPC1126"/>
    <m/>
    <s v="石原 恒"/>
    <m/>
    <m/>
    <m/>
    <m/>
    <m/>
    <m/>
    <b v="0"/>
    <x v="0"/>
    <x v="3"/>
    <s v="SSD 256GB"/>
    <s v="8G"/>
    <s v="6744517"/>
    <s v="20T3S96F00"/>
    <s v="PC23YB01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27"/>
    <m/>
    <s v="中野　功揮"/>
    <m/>
    <m/>
    <s v="リー　ダニエル＜照山 泰隆"/>
    <m/>
    <m/>
    <m/>
    <b v="0"/>
    <x v="0"/>
    <x v="3"/>
    <s v="SSD 256GB"/>
    <s v="8G"/>
    <s v="6744518"/>
    <s v="20T3S96F00"/>
    <s v="PC23LM48"/>
    <s v="第26次"/>
    <d v="2022-05-31T15:00:00"/>
    <m/>
    <x v="12"/>
    <m/>
    <m/>
    <m/>
    <m/>
    <s v="D22-297"/>
    <s v="_x0009_01220507180"/>
    <m/>
    <m/>
    <s v="4,030"/>
    <m/>
    <m/>
    <m/>
    <m/>
    <s v=""/>
    <s v=""/>
    <s v=""/>
    <s v=""/>
    <s v=""/>
    <m/>
    <s v="アイテム"/>
    <s v="sites/itsupport/Lists/PC Flight 4"/>
  </r>
  <r>
    <s v="FMIPC1128"/>
    <m/>
    <s v="清村　一仁"/>
    <m/>
    <m/>
    <s v="北山 勇太"/>
    <m/>
    <m/>
    <m/>
    <b v="0"/>
    <x v="0"/>
    <x v="3"/>
    <s v="SSD 256GB"/>
    <s v="8G"/>
    <s v="6744536"/>
    <s v="20T3S96F00"/>
    <s v="PC26SA9X"/>
    <s v="第27次"/>
    <d v="2022-05-31T15:00:00"/>
    <m/>
    <x v="11"/>
    <m/>
    <m/>
    <m/>
    <m/>
    <s v="D22-298"/>
    <s v="1220507187"/>
    <m/>
    <m/>
    <s v="4,030"/>
    <m/>
    <m/>
    <m/>
    <m/>
    <s v=""/>
    <s v=""/>
    <s v=""/>
    <s v=""/>
    <s v=""/>
    <m/>
    <s v="アイテム"/>
    <s v="sites/itsupport/Lists/PC Flight 4"/>
  </r>
  <r>
    <s v="FMIPC1129"/>
    <m/>
    <s v="大連 ITsupport desk(neusoftuser02)"/>
    <s v="neusoftadmin@frontier-mgmt.com"/>
    <s v="特殊タスク"/>
    <m/>
    <m/>
    <m/>
    <m/>
    <b v="0"/>
    <x v="2"/>
    <x v="5"/>
    <s v="SSD512GB"/>
    <s v="16G"/>
    <s v="6801529"/>
    <s v="20VJS17X00"/>
    <s v="PW00657W"/>
    <s v="第23次"/>
    <d v="2022-02-28T15:00:00"/>
    <m/>
    <x v="13"/>
    <s v="（仮）横河レンタリース"/>
    <m/>
    <m/>
    <s v="買取予定（2025年）"/>
    <s v="D22-101"/>
    <s v="1220204761"/>
    <m/>
    <m/>
    <s v="3,850"/>
    <m/>
    <m/>
    <s v="その他（故障交換等で対応済）"/>
    <m/>
    <s v="neusoftadmin@frontier-mgmt.com;#176"/>
    <s v="Neusoft;#176"/>
    <s v="盛;#176"/>
    <s v="剛;#176"/>
    <s v="ITヘルプデスク;#176"/>
    <m/>
    <s v="アイテム"/>
    <s v="sites/itsupport/Lists/PC Flight 4"/>
  </r>
  <r>
    <s v="FMIPC1130"/>
    <m/>
    <s v="大連 ITsupport desk(neusoftuser02)"/>
    <s v="neusoftuser02@frontier-mgmt.com"/>
    <s v="特殊タスク"/>
    <m/>
    <m/>
    <m/>
    <m/>
    <b v="0"/>
    <x v="2"/>
    <x v="5"/>
    <s v="SSD512GB"/>
    <s v="16G"/>
    <s v="6801527"/>
    <s v="20VJS17X00"/>
    <s v="PW00657M"/>
    <s v="第23次"/>
    <d v="2022-02-28T15:00:00"/>
    <m/>
    <x v="13"/>
    <s v="（仮）横河レンタリース"/>
    <m/>
    <m/>
    <s v="買取予定（2025年）"/>
    <s v="D22-101"/>
    <s v="1220204761"/>
    <m/>
    <m/>
    <s v="3,850"/>
    <m/>
    <m/>
    <s v="その他（故障交換等で対応済）"/>
    <m/>
    <s v="neusoftuser02@frontier-mgmt.com;#177"/>
    <s v="Neusoft;#177"/>
    <s v="張;#177"/>
    <s v="麗ケン;#177"/>
    <s v="ITヘルプデスク;#177"/>
    <m/>
    <s v="アイテム"/>
    <s v="sites/itsupport/Lists/PC Flight 4"/>
  </r>
  <r>
    <s v="FMIPC1131"/>
    <m/>
    <m/>
    <m/>
    <m/>
    <s v="五十嵐 幹直&lt;藤田美紗子検証機"/>
    <m/>
    <m/>
    <m/>
    <b v="0"/>
    <x v="0"/>
    <x v="5"/>
    <s v="SSD512GB"/>
    <s v="16G"/>
    <s v="6801524"/>
    <s v="20VJS17X00"/>
    <s v="PW0065B7"/>
    <s v="第23次"/>
    <d v="2022-02-28T15:00:00"/>
    <m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2"/>
    <m/>
    <m/>
    <m/>
    <m/>
    <s v="横田 正俊"/>
    <m/>
    <m/>
    <m/>
    <b v="0"/>
    <x v="0"/>
    <x v="5"/>
    <s v="SSD512GB"/>
    <s v="16G"/>
    <s v="6801522"/>
    <s v="20VJS17X00"/>
    <s v="PW0065AG"/>
    <s v="第23次"/>
    <d v="2022-02-28T15:00:00"/>
    <m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3"/>
    <m/>
    <m/>
    <m/>
    <m/>
    <s v="庄司 一平&lt;高山 大輔"/>
    <m/>
    <m/>
    <m/>
    <b v="0"/>
    <x v="0"/>
    <x v="5"/>
    <s v="SSD512GB"/>
    <s v="16G"/>
    <s v="6801520"/>
    <s v="20VJS17X00"/>
    <s v="PW0065A7"/>
    <s v="第23次"/>
    <d v="2022-02-28T15:00:00"/>
    <m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4"/>
    <m/>
    <m/>
    <m/>
    <m/>
    <s v="岩本 相辰"/>
    <m/>
    <m/>
    <m/>
    <b v="0"/>
    <x v="0"/>
    <x v="6"/>
    <s v="SSD512GB"/>
    <s v="16G"/>
    <s v="7404478"/>
    <s v="21B4S0C700"/>
    <s v="PW05J181"/>
    <s v="第23次"/>
    <d v="2022-02-28T15:00:00"/>
    <s v="（再利用しない）6801528の代替品"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5"/>
    <m/>
    <m/>
    <m/>
    <m/>
    <s v="杉本 優太"/>
    <m/>
    <m/>
    <m/>
    <b v="0"/>
    <x v="0"/>
    <x v="5"/>
    <s v="SSD512GB"/>
    <s v="16G"/>
    <s v="6770974"/>
    <s v="20VJS17X00"/>
    <s v="PW005B3K"/>
    <s v="第23次"/>
    <d v="2022-02-28T15:00:00"/>
    <s v="6801525の代替品"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6"/>
    <m/>
    <m/>
    <m/>
    <m/>
    <s v="平岡 知明&lt;池田 章子"/>
    <m/>
    <m/>
    <m/>
    <b v="0"/>
    <x v="0"/>
    <x v="5"/>
    <s v="SSD512GB"/>
    <s v="16G"/>
    <s v="7144102"/>
    <s v="20VJS17X00"/>
    <s v="PW01LJ6Y"/>
    <s v="第23次"/>
    <d v="2022-02-28T15:00:00"/>
    <s v="6801521の代替品"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7"/>
    <m/>
    <m/>
    <m/>
    <m/>
    <s v="藤田 晃市"/>
    <m/>
    <m/>
    <m/>
    <b v="0"/>
    <x v="0"/>
    <x v="5"/>
    <s v="SSD512GB"/>
    <s v="16G"/>
    <s v="6801523"/>
    <s v="20VJS17X00"/>
    <s v="PW0065AF"/>
    <s v="第23次"/>
    <d v="2022-02-28T15:00:00"/>
    <m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8"/>
    <m/>
    <m/>
    <m/>
    <m/>
    <s v="木下 美幸"/>
    <m/>
    <m/>
    <m/>
    <b v="0"/>
    <x v="0"/>
    <x v="5"/>
    <s v="SSD512GB"/>
    <s v="16G"/>
    <s v="6801526"/>
    <s v="20VJS17X00"/>
    <s v="PW0065CT"/>
    <s v="第23次"/>
    <d v="2022-02-28T15:00:00"/>
    <m/>
    <x v="13"/>
    <s v="（仮）横河レンタリース"/>
    <m/>
    <m/>
    <m/>
    <s v="D22-101"/>
    <s v="1220204761"/>
    <m/>
    <m/>
    <s v="3,850"/>
    <m/>
    <m/>
    <m/>
    <m/>
    <s v=""/>
    <s v=""/>
    <s v=""/>
    <s v=""/>
    <s v=""/>
    <m/>
    <s v="アイテム"/>
    <s v="sites/itsupport/Lists/PC Flight 4"/>
  </r>
  <r>
    <s v="FMIPC1139"/>
    <m/>
    <s v="20H2検証機→2022/07/11返却済みのためライセンスを削除"/>
    <m/>
    <m/>
    <m/>
    <m/>
    <m/>
    <m/>
    <m/>
    <x v="0"/>
    <x v="5"/>
    <m/>
    <m/>
    <m/>
    <m/>
    <m/>
    <m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140"/>
    <m/>
    <s v="20H2検証機→2022/07/11返却済みのためライセンスを削除"/>
    <m/>
    <m/>
    <m/>
    <m/>
    <m/>
    <m/>
    <m/>
    <x v="0"/>
    <x v="7"/>
    <m/>
    <m/>
    <m/>
    <m/>
    <m/>
    <m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141"/>
    <m/>
    <s v="検証用PC2022/7/27納品"/>
    <m/>
    <m/>
    <m/>
    <m/>
    <m/>
    <m/>
    <m/>
    <x v="0"/>
    <x v="5"/>
    <m/>
    <m/>
    <m/>
    <m/>
    <m/>
    <m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142"/>
    <m/>
    <s v="検証用PC2022/7/27納品"/>
    <m/>
    <m/>
    <m/>
    <m/>
    <m/>
    <m/>
    <m/>
    <x v="0"/>
    <x v="7"/>
    <m/>
    <m/>
    <m/>
    <m/>
    <m/>
    <m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143"/>
    <m/>
    <s v="石田 雅裕"/>
    <s v="m.ishida@frontier-mgmt.com"/>
    <s v="社員"/>
    <m/>
    <m/>
    <m/>
    <m/>
    <b v="1"/>
    <x v="2"/>
    <x v="5"/>
    <s v="SSD512GB"/>
    <s v="16G"/>
    <s v="6984497"/>
    <s v="20VJS17X00"/>
    <s v="PW01E7BW"/>
    <s v="第28次"/>
    <d v="2022-07-31T15:00:00"/>
    <m/>
    <x v="14"/>
    <s v="（仮）横河レンタリース"/>
    <m/>
    <m/>
    <m/>
    <s v="D22-522"/>
    <s v="_x0009_01220509000"/>
    <m/>
    <m/>
    <s v="4200"/>
    <m/>
    <m/>
    <s v="対応不要"/>
    <m/>
    <s v=""/>
    <s v=""/>
    <s v=""/>
    <s v=""/>
    <s v=""/>
    <s v="FCI"/>
    <s v="アイテム"/>
    <s v="sites/itsupport/Lists/PC Flight 4"/>
  </r>
  <r>
    <s v="FMIPC1144"/>
    <m/>
    <m/>
    <m/>
    <m/>
    <s v="大野 智子＜藤田 晃市"/>
    <m/>
    <m/>
    <m/>
    <b v="0"/>
    <x v="0"/>
    <x v="5"/>
    <s v="SSD512GB"/>
    <s v="16G"/>
    <s v="6984498"/>
    <s v="20VJS17X00"/>
    <s v="PW01E7AX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45"/>
    <m/>
    <m/>
    <m/>
    <m/>
    <s v="六車 和浩"/>
    <m/>
    <m/>
    <m/>
    <b v="0"/>
    <x v="0"/>
    <x v="5"/>
    <s v="SSD512GB"/>
    <s v="16G"/>
    <s v="6984499"/>
    <s v="20VJS17X00"/>
    <s v="PW01E7BR"/>
    <s v="第28次"/>
    <d v="2022-07-31T15:00:00"/>
    <s v="BIOS ビープ音ミュート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46"/>
    <m/>
    <m/>
    <m/>
    <m/>
    <s v="FBJ用PC&lt;上田 裕貴"/>
    <m/>
    <m/>
    <m/>
    <b v="0"/>
    <x v="0"/>
    <x v="5"/>
    <s v="SSD512GB"/>
    <s v="16G"/>
    <s v="6984500"/>
    <s v="20VJS17X00"/>
    <s v="PW01E7BM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47"/>
    <m/>
    <m/>
    <m/>
    <m/>
    <s v="楊 亜杰&lt;岩下 琳"/>
    <m/>
    <m/>
    <m/>
    <b v="0"/>
    <x v="0"/>
    <x v="5"/>
    <s v="SSD512GB"/>
    <s v="16G"/>
    <s v="6984501"/>
    <s v="20VJS17X00"/>
    <s v="PW01E7AL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48"/>
    <m/>
    <m/>
    <m/>
    <m/>
    <s v="林 悠志"/>
    <m/>
    <m/>
    <m/>
    <b v="0"/>
    <x v="0"/>
    <x v="5"/>
    <s v="SSD512GB"/>
    <s v="16G"/>
    <s v="6984502"/>
    <s v="20VJS17X00"/>
    <s v="PW01E7AY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49"/>
    <m/>
    <m/>
    <m/>
    <m/>
    <s v="小林 千佳"/>
    <m/>
    <m/>
    <m/>
    <b v="0"/>
    <x v="0"/>
    <x v="5"/>
    <s v="SSD512GB"/>
    <s v="16G"/>
    <s v="6984503"/>
    <s v="20VJS17X00"/>
    <s v="PW01E7AS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0"/>
    <m/>
    <m/>
    <m/>
    <m/>
    <s v="村瀬 協吾 &lt;新井 清&lt;関 駿一郎"/>
    <m/>
    <m/>
    <m/>
    <b v="0"/>
    <x v="0"/>
    <x v="5"/>
    <s v="SSD512GB"/>
    <s v="16G"/>
    <s v="6539260"/>
    <s v="20VJS17X00"/>
    <s v="R912AZY4"/>
    <s v="第28次"/>
    <d v="2022-07-31T15:00:00"/>
    <s v="6984504の代替品,6752031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1"/>
    <m/>
    <m/>
    <m/>
    <m/>
    <s v="道内 尊正&lt;木下 美幸＜西山 真司"/>
    <m/>
    <m/>
    <m/>
    <b v="0"/>
    <x v="0"/>
    <x v="5"/>
    <s v="SSD512GB"/>
    <s v="16G"/>
    <s v="6778520"/>
    <s v="20VJS17X00"/>
    <s v="PW0065D8"/>
    <s v="第28次"/>
    <d v="2022-07-31T15:00:00"/>
    <s v="6984505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2"/>
    <m/>
    <m/>
    <m/>
    <m/>
    <s v="村松 将気 &lt; 圖子 大智"/>
    <m/>
    <m/>
    <m/>
    <b v="0"/>
    <x v="0"/>
    <x v="5"/>
    <s v="SSD512GB"/>
    <s v="16G"/>
    <s v="6984506"/>
    <s v="20VJS17X00"/>
    <s v="PW01E79R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3"/>
    <m/>
    <m/>
    <m/>
    <m/>
    <s v="宇畑 明典"/>
    <m/>
    <m/>
    <m/>
    <b v="0"/>
    <x v="0"/>
    <x v="5"/>
    <s v="SSD512GB"/>
    <s v="16G"/>
    <s v="6984507"/>
    <s v="20VJS17X00"/>
    <s v="PW01E7BK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4"/>
    <m/>
    <m/>
    <m/>
    <m/>
    <s v="塩見 哲也"/>
    <m/>
    <m/>
    <m/>
    <b v="0"/>
    <x v="0"/>
    <x v="5"/>
    <s v="SSD512GB"/>
    <s v="16G"/>
    <s v="6984508"/>
    <s v="20VJS17X00"/>
    <s v="PW01E7AK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5"/>
    <m/>
    <m/>
    <m/>
    <m/>
    <s v="鳥居 龍一"/>
    <m/>
    <m/>
    <m/>
    <b v="0"/>
    <x v="0"/>
    <x v="5"/>
    <s v="SSD512GB"/>
    <s v="16G"/>
    <s v="6984509"/>
    <s v="20VJS17X00"/>
    <s v="PW01E7AD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6"/>
    <m/>
    <m/>
    <m/>
    <m/>
    <s v="與三野 智昭&lt;高山 翔平"/>
    <m/>
    <m/>
    <m/>
    <b v="0"/>
    <x v="0"/>
    <x v="5"/>
    <s v="SSD512GB"/>
    <s v="16G"/>
    <s v="7010600"/>
    <s v="20VJS17X00"/>
    <s v="PW01ELSJ"/>
    <s v="第28次"/>
    <d v="2022-07-31T15:00:00"/>
    <s v="6984510の代替品"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57"/>
    <m/>
    <m/>
    <m/>
    <m/>
    <s v="高橋 大吾"/>
    <m/>
    <m/>
    <m/>
    <b v="0"/>
    <x v="0"/>
    <x v="5"/>
    <s v="SSD512GB"/>
    <s v="16G"/>
    <s v="6984511"/>
    <s v="20VJS17X00"/>
    <s v="PW01E7AF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8"/>
    <m/>
    <m/>
    <m/>
    <m/>
    <s v="高村 俊寛&lt;小丸 裕&lt;岩井 健"/>
    <m/>
    <m/>
    <m/>
    <b v="0"/>
    <x v="0"/>
    <x v="5"/>
    <s v="SSD512GB"/>
    <s v="16G"/>
    <s v="6984512"/>
    <s v="20VJS17X00"/>
    <s v="PW01E7AN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59"/>
    <m/>
    <m/>
    <m/>
    <m/>
    <s v="野村 知希&lt;諸江 佳樹"/>
    <m/>
    <m/>
    <m/>
    <b v="0"/>
    <x v="0"/>
    <x v="5"/>
    <s v="SSD512GB"/>
    <s v="16G"/>
    <s v="6984513"/>
    <s v="20VJS17X00"/>
    <s v="PW01E7BN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60"/>
    <m/>
    <m/>
    <m/>
    <m/>
    <s v="徳田 吉完&lt;前島 有吾"/>
    <m/>
    <m/>
    <m/>
    <b v="0"/>
    <x v="0"/>
    <x v="5"/>
    <s v="SSD512GB"/>
    <s v="16G"/>
    <s v="6984514"/>
    <s v="20VJS17X00"/>
    <s v="PW01E7C1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61"/>
    <m/>
    <m/>
    <m/>
    <m/>
    <s v="門田 義弘＜村田 朋博"/>
    <m/>
    <m/>
    <m/>
    <b v="0"/>
    <x v="0"/>
    <x v="8"/>
    <s v="SSD512GB"/>
    <s v="16G"/>
    <s v="7448608"/>
    <s v="21FHS05400"/>
    <m/>
    <s v="第28次"/>
    <d v="2022-07-31T15:00:00"/>
    <s v="6984515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62"/>
    <m/>
    <m/>
    <m/>
    <m/>
    <s v="山口 公也&lt;前田 竜"/>
    <m/>
    <m/>
    <m/>
    <b v="0"/>
    <x v="0"/>
    <x v="5"/>
    <s v="SSD512GB"/>
    <s v="16G"/>
    <s v="6984516"/>
    <s v="20VJS17X00"/>
    <s v="PW01E79T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63"/>
    <m/>
    <m/>
    <m/>
    <m/>
    <s v="水口 智詞&lt;岡村 英和"/>
    <m/>
    <m/>
    <m/>
    <b v="0"/>
    <x v="0"/>
    <x v="5"/>
    <s v="SSD512GB"/>
    <s v="16G"/>
    <s v="6561479"/>
    <s v="20VJS17X00"/>
    <s v="R912AZTH"/>
    <s v="第28次"/>
    <d v="2022-07-31T15:00:00"/>
    <s v="6984517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64"/>
    <m/>
    <m/>
    <m/>
    <m/>
    <s v="横井 貴＜中村 雅一&lt;小道 誠也"/>
    <m/>
    <m/>
    <m/>
    <b v="0"/>
    <x v="0"/>
    <x v="5"/>
    <s v="SSD512GB"/>
    <s v="16G"/>
    <s v="6938448"/>
    <s v="20VJS17X00"/>
    <s v="PW01ELXW"/>
    <s v="第28次"/>
    <d v="2022-07-31T15:00:00"/>
    <s v="6984518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65"/>
    <m/>
    <m/>
    <m/>
    <m/>
    <s v="杉本 穂乃佳&lt;髙岡 裕＜山口 大我&lt;小川 郁弥"/>
    <m/>
    <m/>
    <m/>
    <b v="0"/>
    <x v="0"/>
    <x v="5"/>
    <s v="SSD512GB"/>
    <s v="16G"/>
    <s v="6984519"/>
    <s v="20VJS17X00"/>
    <s v="PW01E7BG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66"/>
    <m/>
    <m/>
    <m/>
    <m/>
    <s v="西浦 佑&lt;吉岡 孝輔"/>
    <m/>
    <m/>
    <m/>
    <b v="0"/>
    <x v="0"/>
    <x v="5"/>
    <s v="SSD512GB"/>
    <s v="16G"/>
    <s v="6984520"/>
    <s v="20VJS17X00"/>
    <s v="PW01E7B7"/>
    <s v="第28次"/>
    <d v="2022-07-31T15:00:00"/>
    <m/>
    <x v="14"/>
    <s v="（仮）横河レンタリース"/>
    <m/>
    <m/>
    <m/>
    <s v="D22-522"/>
    <s v="_x0009_01220509000"/>
    <m/>
    <m/>
    <s v="4200"/>
    <m/>
    <m/>
    <s v="対応不要"/>
    <m/>
    <s v=""/>
    <s v=""/>
    <s v=""/>
    <s v=""/>
    <s v=""/>
    <m/>
    <s v="アイテム"/>
    <s v="sites/itsupport/Lists/PC Flight 4"/>
  </r>
  <r>
    <s v="FMIPC1167"/>
    <m/>
    <m/>
    <m/>
    <m/>
    <s v="藤井 美沙＜高橋 哲也"/>
    <m/>
    <m/>
    <m/>
    <b v="0"/>
    <x v="0"/>
    <x v="5"/>
    <s v="SSD512GB"/>
    <s v="16G"/>
    <s v="6720196"/>
    <s v="20VJS17X00"/>
    <s v="PW005AJG"/>
    <s v="第28次"/>
    <d v="2022-07-31T15:00:00"/>
    <s v="6984521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68"/>
    <m/>
    <m/>
    <m/>
    <m/>
    <s v="岡部 千帆&lt;竹村 聖人"/>
    <m/>
    <m/>
    <m/>
    <b v="0"/>
    <x v="0"/>
    <x v="5"/>
    <s v="SSD512GB"/>
    <s v="16G"/>
    <s v="6984522"/>
    <s v="20VJS17X00"/>
    <s v="PW01E7C8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69"/>
    <m/>
    <m/>
    <m/>
    <m/>
    <s v="犬塚 忠勝&lt;栗村 努&gt;フォレンジック調査"/>
    <m/>
    <m/>
    <m/>
    <b v="0"/>
    <x v="0"/>
    <x v="5"/>
    <s v="SSD512GB"/>
    <s v="16G"/>
    <s v="6984523"/>
    <s v="20VJS17X00"/>
    <s v="PW01E7BV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70"/>
    <m/>
    <m/>
    <m/>
    <m/>
    <s v="澤村 勇城"/>
    <m/>
    <m/>
    <m/>
    <b v="0"/>
    <x v="0"/>
    <x v="5"/>
    <s v="SSD512GB"/>
    <s v="16G"/>
    <s v="6984524"/>
    <s v="20VJS17X00"/>
    <s v="PW01E7A3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71"/>
    <m/>
    <m/>
    <m/>
    <m/>
    <s v="三浦　和仁&lt;山田 耕太郎＞齋藤 なぎさ"/>
    <m/>
    <m/>
    <m/>
    <b v="0"/>
    <x v="0"/>
    <x v="5"/>
    <s v="SSD512GB"/>
    <s v="16G"/>
    <s v="6984525"/>
    <s v="20VJS17X00"/>
    <s v="PW01E7AQ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72"/>
    <m/>
    <m/>
    <m/>
    <m/>
    <s v="武田 惇吾"/>
    <m/>
    <m/>
    <m/>
    <b v="0"/>
    <x v="0"/>
    <x v="5"/>
    <s v="SSD512GB"/>
    <s v="16G"/>
    <s v="6984526"/>
    <s v="20VJS17X00"/>
    <s v="PW01E7B0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73"/>
    <m/>
    <m/>
    <m/>
    <m/>
    <s v="岩本 相辰&lt;後藤 健斗"/>
    <m/>
    <m/>
    <m/>
    <b v="0"/>
    <x v="0"/>
    <x v="5"/>
    <s v="SSD512GB"/>
    <s v="16G"/>
    <s v="6928397"/>
    <s v="20VJS17X00"/>
    <s v="PW01ELSP"/>
    <s v="第28次"/>
    <d v="2022-07-31T15:00:00"/>
    <s v="6984527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74"/>
    <m/>
    <m/>
    <m/>
    <m/>
    <s v="荻村 昇二"/>
    <m/>
    <m/>
    <m/>
    <b v="0"/>
    <x v="0"/>
    <x v="5"/>
    <s v="SSD512GB"/>
    <s v="16G"/>
    <s v="6984528"/>
    <s v="20VJS17X00"/>
    <s v="PW01E7CB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75"/>
    <m/>
    <m/>
    <m/>
    <m/>
    <s v="瀧川 幸平"/>
    <m/>
    <m/>
    <m/>
    <b v="0"/>
    <x v="0"/>
    <x v="5"/>
    <s v="SSD512GB"/>
    <s v="16G"/>
    <s v="6984529"/>
    <s v="20VJS17X00"/>
    <s v="PW01E7AH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76"/>
    <m/>
    <m/>
    <m/>
    <m/>
    <s v="舟橋 宏和"/>
    <m/>
    <m/>
    <m/>
    <b v="0"/>
    <x v="0"/>
    <x v="5"/>
    <s v="SSD512GB"/>
    <s v="16G"/>
    <s v="6984539"/>
    <s v="20VJS17X00"/>
    <s v="PW01E79M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77"/>
    <m/>
    <m/>
    <m/>
    <m/>
    <s v="遠藤 正一＜村瀬 協吾＜市川 大生＜佐藤 誠"/>
    <m/>
    <m/>
    <m/>
    <b v="0"/>
    <x v="0"/>
    <x v="5"/>
    <s v="SSD512GB"/>
    <s v="16G"/>
    <s v="6938449"/>
    <s v="20VJS17X00"/>
    <s v="PW01ELX9"/>
    <s v="第28次"/>
    <d v="2022-07-31T15:00:00"/>
    <s v="6984540の代替品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78"/>
    <m/>
    <m/>
    <m/>
    <m/>
    <s v="松田 優吾&lt;粟野 悠希"/>
    <m/>
    <m/>
    <m/>
    <b v="0"/>
    <x v="0"/>
    <x v="5"/>
    <s v="SSD512GB"/>
    <s v="16G"/>
    <s v="6984541"/>
    <s v="20VJS17X00"/>
    <s v="PW01ELSG"/>
    <s v="第28次"/>
    <d v="2022-07-31T15:00:00"/>
    <m/>
    <x v="14"/>
    <s v="（仮）横河レンタリース"/>
    <m/>
    <m/>
    <m/>
    <s v="D22-522"/>
    <s v="_x0009_01220509000"/>
    <m/>
    <m/>
    <s v="4200"/>
    <m/>
    <m/>
    <s v="リプレース"/>
    <m/>
    <s v=""/>
    <s v=""/>
    <s v=""/>
    <s v=""/>
    <s v=""/>
    <m/>
    <s v="アイテム"/>
    <s v="sites/itsupport/Lists/PC Flight 4"/>
  </r>
  <r>
    <s v="FMIPC1179"/>
    <m/>
    <m/>
    <m/>
    <m/>
    <s v="川﨑 友裕"/>
    <m/>
    <m/>
    <m/>
    <b v="0"/>
    <x v="0"/>
    <x v="5"/>
    <s v="SSD512GB"/>
    <s v="16G"/>
    <s v="6984542"/>
    <s v="20VJS17X00"/>
    <s v="PW01E7A9"/>
    <s v="第28次"/>
    <d v="2022-07-31T15:00:00"/>
    <m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80"/>
    <m/>
    <m/>
    <m/>
    <m/>
    <s v="小柳 寛人"/>
    <m/>
    <m/>
    <m/>
    <b v="0"/>
    <x v="0"/>
    <x v="5"/>
    <s v="SSD512GB"/>
    <s v="16G"/>
    <s v="6984543"/>
    <s v="20VJS17X00"/>
    <s v="PW01E7CC"/>
    <s v="第28次"/>
    <d v="2022-07-31T15:00:00"/>
    <s v="メロディー系の異音あり"/>
    <x v="14"/>
    <s v="（仮）横河レンタリース"/>
    <m/>
    <m/>
    <m/>
    <s v="D22-522"/>
    <s v="_x0009_01220509000"/>
    <m/>
    <m/>
    <s v="4200"/>
    <m/>
    <m/>
    <m/>
    <m/>
    <s v=""/>
    <s v=""/>
    <s v=""/>
    <s v=""/>
    <s v=""/>
    <m/>
    <s v="アイテム"/>
    <s v="sites/itsupport/Lists/PC Flight 4"/>
  </r>
  <r>
    <s v="FMIPC1181"/>
    <m/>
    <m/>
    <m/>
    <m/>
    <s v="リスク管理貸出用＞王 泳思(一時利用)＜片桐秀樹（一時貸出用）&lt;黒部真由子 （一時利用）＜松田 優吾(一時利用)＜成田 晃一"/>
    <m/>
    <m/>
    <m/>
    <b v="0"/>
    <x v="0"/>
    <x v="5"/>
    <s v="SSD512GB"/>
    <s v="16G"/>
    <s v="6974066"/>
    <s v="20VJS17X00"/>
    <s v="PW01E74S"/>
    <s v="第28次"/>
    <d v="2022-07-31T15:00:00"/>
    <s v="6984544の代替品"/>
    <x v="14"/>
    <s v="（仮）横河レンタリース"/>
    <m/>
    <m/>
    <m/>
    <s v="D22-522"/>
    <s v="_x0009_01220509000"/>
    <m/>
    <m/>
    <s v="4200"/>
    <m/>
    <m/>
    <s v="対応不要"/>
    <m/>
    <s v=""/>
    <s v=""/>
    <s v=""/>
    <s v=""/>
    <s v=""/>
    <m/>
    <s v="アイテム"/>
    <s v="sites/itsupport/Lists/PC Flight 4"/>
  </r>
  <r>
    <s v="FMIPC1182"/>
    <m/>
    <m/>
    <m/>
    <m/>
    <s v="臨時貸出_リスク管理貸出用＞＞大森晃成_本島 祐太郎＜南野圭吾＜藤田美沙＜平野 達也"/>
    <m/>
    <m/>
    <m/>
    <b v="0"/>
    <x v="0"/>
    <x v="5"/>
    <s v="SSD512GB"/>
    <s v="16G"/>
    <s v="6984545"/>
    <s v="20VJS17X00"/>
    <s v="PW01E7BB"/>
    <s v="第28次"/>
    <d v="2022-07-31T15:00:00"/>
    <m/>
    <x v="14"/>
    <s v="（仮）横河レンタリース"/>
    <m/>
    <m/>
    <m/>
    <s v="D22-522"/>
    <s v="_x0009_01220509000"/>
    <m/>
    <m/>
    <s v="4200"/>
    <m/>
    <m/>
    <s v="対応不要"/>
    <m/>
    <s v=""/>
    <s v=""/>
    <s v=""/>
    <s v=""/>
    <s v=""/>
    <m/>
    <s v="アイテム"/>
    <s v="sites/itsupport/Lists/PC Flight 4"/>
  </r>
  <r>
    <s v="FMIPC1183"/>
    <m/>
    <m/>
    <m/>
    <m/>
    <s v="鹿田 順平＜中村 暁高"/>
    <m/>
    <m/>
    <m/>
    <b v="0"/>
    <x v="0"/>
    <x v="5"/>
    <s v="SSD512GB"/>
    <s v="16G"/>
    <s v="6743931"/>
    <s v="20VJS17X00"/>
    <s v="PW005AKA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4"/>
    <m/>
    <m/>
    <m/>
    <m/>
    <s v="對間 勝己"/>
    <m/>
    <m/>
    <m/>
    <b v="0"/>
    <x v="0"/>
    <x v="5"/>
    <s v="SSD512GB"/>
    <s v="16G"/>
    <s v="6977916"/>
    <s v="20VJS17X00"/>
    <s v="PW01ELTQ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5"/>
    <m/>
    <m/>
    <m/>
    <m/>
    <s v="坂井 大介"/>
    <m/>
    <m/>
    <m/>
    <b v="0"/>
    <x v="0"/>
    <x v="5"/>
    <s v="SSD512GB"/>
    <s v="16G"/>
    <s v="6977917"/>
    <s v="20VJS17X00"/>
    <s v="PW01ELT6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6"/>
    <m/>
    <m/>
    <m/>
    <m/>
    <s v="大西 太一星"/>
    <m/>
    <m/>
    <m/>
    <b v="0"/>
    <x v="0"/>
    <x v="5"/>
    <s v="SSD512GB"/>
    <s v="16G"/>
    <s v="6977918"/>
    <s v="20VJS17X00"/>
    <s v="PW01ELWB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7"/>
    <m/>
    <m/>
    <m/>
    <m/>
    <s v="安下 人生&lt;堀越 康夫"/>
    <m/>
    <m/>
    <m/>
    <b v="0"/>
    <x v="0"/>
    <x v="5"/>
    <s v="SSD512GB"/>
    <s v="16G"/>
    <s v="6780540"/>
    <s v="20VJS17X00"/>
    <s v="PW006572"/>
    <s v="第28次"/>
    <d v="2022-07-31T15:00:00"/>
    <s v="6977919の代替品"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8"/>
    <m/>
    <m/>
    <m/>
    <m/>
    <s v="橋本 幸治&gt;八木沢 海斗"/>
    <m/>
    <m/>
    <m/>
    <b v="0"/>
    <x v="0"/>
    <x v="5"/>
    <s v="SSD512GB"/>
    <s v="16G"/>
    <s v="6977920"/>
    <s v="20VJS17X00"/>
    <s v="PW01ELWK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89"/>
    <m/>
    <m/>
    <m/>
    <m/>
    <s v="成田 陽一"/>
    <m/>
    <m/>
    <m/>
    <b v="0"/>
    <x v="0"/>
    <x v="5"/>
    <s v="SSD512GB"/>
    <s v="16G"/>
    <s v="6977921"/>
    <s v="20VJS17X00"/>
    <s v="PW01ELTJ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0"/>
    <m/>
    <m/>
    <m/>
    <m/>
    <s v="城野 聡宏"/>
    <m/>
    <m/>
    <m/>
    <b v="0"/>
    <x v="0"/>
    <x v="5"/>
    <s v="SSD512GB"/>
    <s v="16G"/>
    <s v="6977922"/>
    <s v="20VJS17X00"/>
    <s v="PW01ELTW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1"/>
    <m/>
    <m/>
    <m/>
    <m/>
    <s v="福田 佑也"/>
    <m/>
    <m/>
    <m/>
    <b v="0"/>
    <x v="0"/>
    <x v="5"/>
    <s v="SSD512GB"/>
    <s v="16G"/>
    <s v="6977923"/>
    <s v="20VJS17X00"/>
    <s v="PW01ELW7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2"/>
    <m/>
    <m/>
    <m/>
    <m/>
    <s v="柿本 蓮&lt;竹中 義和&lt;近江直史"/>
    <m/>
    <m/>
    <m/>
    <b v="0"/>
    <x v="0"/>
    <x v="5"/>
    <s v="SSD512GB"/>
    <s v="16G"/>
    <s v="6740735"/>
    <s v="20VJS17X00"/>
    <s v="PW0104M7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3"/>
    <m/>
    <m/>
    <m/>
    <m/>
    <s v="増江 亜佐緒＜朴 炳俊"/>
    <m/>
    <m/>
    <m/>
    <b v="0"/>
    <x v="0"/>
    <x v="5"/>
    <s v="SSD512GB"/>
    <s v="16G"/>
    <s v="6909058"/>
    <s v="20VJS17X00"/>
    <s v="PW00QXMF"/>
    <s v="第28次"/>
    <d v="2022-07-31T15:00:00"/>
    <s v="6977925の代替機"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4"/>
    <m/>
    <m/>
    <m/>
    <m/>
    <s v="比嘉大輔"/>
    <m/>
    <m/>
    <m/>
    <b v="0"/>
    <x v="0"/>
    <x v="5"/>
    <s v="SSD512GB"/>
    <s v="16G"/>
    <s v="6977926"/>
    <s v="20VJS17X00"/>
    <s v="PW01ELT2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5"/>
    <m/>
    <m/>
    <m/>
    <m/>
    <s v="藤原 豊"/>
    <m/>
    <m/>
    <m/>
    <b v="0"/>
    <x v="0"/>
    <x v="5"/>
    <s v="SSD512GB"/>
    <s v="16G"/>
    <s v="6977927"/>
    <s v="20VJS17X00"/>
    <s v="PW01ELVD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6"/>
    <m/>
    <m/>
    <m/>
    <m/>
    <s v="岡村 英和&gt;田中浩一郎"/>
    <m/>
    <m/>
    <m/>
    <b v="0"/>
    <x v="0"/>
    <x v="5"/>
    <s v="SSD512GB"/>
    <s v="16G"/>
    <s v="6792404"/>
    <s v="20VJS17X00"/>
    <s v="PW0065P5"/>
    <s v="第28次"/>
    <d v="2022-07-31T15:00:00"/>
    <s v="6823212の代替機＜6977928の代替機"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7"/>
    <m/>
    <m/>
    <m/>
    <m/>
    <s v="西 健太&lt;樺澤雄太郎"/>
    <m/>
    <m/>
    <m/>
    <b v="0"/>
    <x v="0"/>
    <x v="5"/>
    <s v="SSD512GB"/>
    <s v="16G"/>
    <s v="6984530"/>
    <s v="20VJS17X00"/>
    <s v="PW01E7C6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198"/>
    <m/>
    <m/>
    <m/>
    <m/>
    <s v="伊藤雅典"/>
    <m/>
    <m/>
    <m/>
    <b v="0"/>
    <x v="0"/>
    <x v="5"/>
    <s v="SSD512GB"/>
    <s v="16G"/>
    <s v="6984531"/>
    <s v="20VJS17X00"/>
    <s v="PW01E7B4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199"/>
    <m/>
    <m/>
    <m/>
    <m/>
    <s v="西上義彦"/>
    <m/>
    <m/>
    <m/>
    <b v="0"/>
    <x v="0"/>
    <x v="5"/>
    <s v="SSD512GB"/>
    <s v="16G"/>
    <s v="6984532"/>
    <s v="20VJS17X00"/>
    <s v="PW01E7A5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00"/>
    <m/>
    <m/>
    <m/>
    <m/>
    <s v="前田 竜＜佐野 智英&lt;栗山 史"/>
    <m/>
    <m/>
    <m/>
    <b v="0"/>
    <x v="0"/>
    <x v="5"/>
    <s v="SSD512GB"/>
    <s v="16G"/>
    <s v="6984533"/>
    <s v="20VJS17X00"/>
    <s v="PW01E7BJ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01"/>
    <m/>
    <m/>
    <m/>
    <m/>
    <s v="小波 憲司"/>
    <m/>
    <m/>
    <m/>
    <b v="0"/>
    <x v="0"/>
    <x v="5"/>
    <s v="SSD512GB"/>
    <s v="16G"/>
    <s v="6984534"/>
    <s v="20VJS17X00"/>
    <s v="PW01E7A0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02"/>
    <m/>
    <m/>
    <m/>
    <m/>
    <s v="関 友洋"/>
    <m/>
    <m/>
    <m/>
    <b v="0"/>
    <x v="0"/>
    <x v="5"/>
    <s v="SSD512GB"/>
    <s v="16G"/>
    <s v="6984535"/>
    <s v="20VJS17X00"/>
    <s v="PW01EMZ1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03"/>
    <m/>
    <m/>
    <m/>
    <m/>
    <s v="横井 貴&lt;郁 智彦&lt;村上 武史"/>
    <m/>
    <m/>
    <m/>
    <b v="0"/>
    <x v="0"/>
    <x v="5"/>
    <s v="SSD512GB"/>
    <s v="16G"/>
    <s v="6913394"/>
    <s v="20VJS17X00"/>
    <s v="PW00QXM5"/>
    <s v="第28次"/>
    <d v="2022-07-31T15:00:00"/>
    <s v="6984536の代替機"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04"/>
    <m/>
    <m/>
    <m/>
    <m/>
    <s v="大阪支店セキュリティ機器管理用PC"/>
    <m/>
    <m/>
    <m/>
    <b v="0"/>
    <x v="0"/>
    <x v="5"/>
    <s v="SSD512GB"/>
    <s v="16G"/>
    <s v="6984537"/>
    <s v="20VJS17X00"/>
    <s v="PW01ELSC"/>
    <s v="第28次"/>
    <d v="2022-07-31T15:00:00"/>
    <m/>
    <x v="15"/>
    <s v="（仮）横河レンタリース"/>
    <m/>
    <m/>
    <m/>
    <s v="D22-522"/>
    <s v="1220802224"/>
    <m/>
    <m/>
    <s v="4200"/>
    <m/>
    <m/>
    <s v="個別対応"/>
    <m/>
    <s v=""/>
    <s v=""/>
    <s v=""/>
    <s v=""/>
    <s v=""/>
    <m/>
    <s v="アイテム"/>
    <s v="sites/itsupport/Lists/PC Flight 4"/>
  </r>
  <r>
    <s v="FMIPC1205"/>
    <m/>
    <m/>
    <m/>
    <m/>
    <s v="岩﨑 攝子"/>
    <m/>
    <m/>
    <m/>
    <b v="0"/>
    <x v="0"/>
    <x v="5"/>
    <s v="SSD512GB"/>
    <s v="16G"/>
    <s v="6984538"/>
    <s v="20VJS17X00"/>
    <s v="PW01E7BT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06"/>
    <m/>
    <m/>
    <m/>
    <m/>
    <s v="木村 悠人"/>
    <m/>
    <m/>
    <m/>
    <b v="0"/>
    <x v="0"/>
    <x v="5"/>
    <s v="SSD512GB"/>
    <s v="16G"/>
    <s v="6985513"/>
    <s v="20VJS17X00"/>
    <s v="PW01ELY7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07"/>
    <m/>
    <m/>
    <m/>
    <m/>
    <s v="渡邉 あき子"/>
    <m/>
    <m/>
    <m/>
    <b v="0"/>
    <x v="0"/>
    <x v="8"/>
    <s v="SSD512GB"/>
    <s v="16G"/>
    <s v="7537525"/>
    <s v="21FHS05400"/>
    <m/>
    <s v="第28次"/>
    <d v="2022-07-31T15:00:00"/>
    <s v="6985514の代替機"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08"/>
    <m/>
    <m/>
    <m/>
    <m/>
    <s v="白石 良彰&lt;深夜勤務アカウント1(MC)"/>
    <m/>
    <m/>
    <m/>
    <b v="0"/>
    <x v="0"/>
    <x v="5"/>
    <s v="SSD512GB"/>
    <s v="16G"/>
    <s v="6985515"/>
    <s v="20VJS17X00"/>
    <s v="PW01E7AJ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09"/>
    <m/>
    <m/>
    <m/>
    <m/>
    <s v="小松 三輪"/>
    <m/>
    <m/>
    <m/>
    <b v="0"/>
    <x v="0"/>
    <x v="5"/>
    <s v="SSD512GB"/>
    <s v="16G"/>
    <s v="6985516"/>
    <s v="20VJS17X00"/>
    <s v="PW01E79X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10"/>
    <m/>
    <m/>
    <m/>
    <m/>
    <s v="伊藤 拓真"/>
    <m/>
    <m/>
    <m/>
    <b v="0"/>
    <x v="0"/>
    <x v="5"/>
    <s v="SSD512GB"/>
    <s v="16G"/>
    <s v="6985517"/>
    <s v="20VJS17X00"/>
    <s v="PW01E79H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11"/>
    <m/>
    <m/>
    <m/>
    <m/>
    <s v="深夜勤務アカウント1(MC)"/>
    <m/>
    <m/>
    <m/>
    <b v="0"/>
    <x v="0"/>
    <x v="5"/>
    <s v="SSD512GB"/>
    <s v="16G"/>
    <s v="6985518"/>
    <s v="20VJS17X00"/>
    <s v="PW01E7BE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12"/>
    <m/>
    <m/>
    <m/>
    <m/>
    <s v="三好 峰彦&lt;高橋 梨紗"/>
    <m/>
    <m/>
    <m/>
    <b v="0"/>
    <x v="0"/>
    <x v="5"/>
    <s v="SSD512GB"/>
    <s v="16G"/>
    <s v="6985519"/>
    <s v="20VJS17X00"/>
    <s v="PW01E7AG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13"/>
    <m/>
    <m/>
    <m/>
    <m/>
    <s v="福森 正紘&lt;松元 まりあ＜加藤 陽介"/>
    <m/>
    <m/>
    <m/>
    <b v="0"/>
    <x v="0"/>
    <x v="5"/>
    <s v="SSD512GB"/>
    <s v="16G"/>
    <s v="6985520"/>
    <s v="20VJS17X00"/>
    <s v="PW01E79V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14"/>
    <m/>
    <m/>
    <m/>
    <m/>
    <s v="塩見 哲也&lt;森口 輝来&lt;平野 達也&lt;鯨井　久敬"/>
    <m/>
    <m/>
    <m/>
    <b v="0"/>
    <x v="0"/>
    <x v="5"/>
    <s v="SSD512GB"/>
    <s v="16G"/>
    <s v="6985521"/>
    <s v="20VJS17X00"/>
    <s v="PW01E79L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15"/>
    <m/>
    <m/>
    <m/>
    <m/>
    <s v="稲葉 武志&lt;岡本 佳子"/>
    <m/>
    <m/>
    <m/>
    <b v="0"/>
    <x v="0"/>
    <x v="5"/>
    <s v="SSD512GB"/>
    <s v="16G"/>
    <s v="6985522"/>
    <s v="20VJS17X00"/>
    <s v="PW01E79F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16"/>
    <m/>
    <m/>
    <m/>
    <m/>
    <s v="村田 朋博&lt;栗村 努＜泉名 正樹"/>
    <m/>
    <m/>
    <m/>
    <b v="0"/>
    <x v="0"/>
    <x v="5"/>
    <s v="SSD512GB"/>
    <s v="16G"/>
    <s v="6985523"/>
    <s v="20VJS17X00"/>
    <s v="PW01E7BZ"/>
    <s v="第28次"/>
    <d v="2022-07-31T15:00:00"/>
    <m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17"/>
    <m/>
    <m/>
    <m/>
    <m/>
    <s v="深夜勤務アカウント1(MC)"/>
    <m/>
    <m/>
    <m/>
    <b v="0"/>
    <x v="0"/>
    <x v="5"/>
    <s v="SSD512GB"/>
    <s v="16G"/>
    <s v="6985524"/>
    <s v="20VJS17X00"/>
    <s v="PW01E7BX"/>
    <s v="第28次"/>
    <d v="2022-07-31T15:00:00"/>
    <m/>
    <x v="15"/>
    <s v="（仮）横河レンタリース"/>
    <m/>
    <m/>
    <m/>
    <s v="D22-522"/>
    <s v="1220802224"/>
    <s v="2025/02/03"/>
    <m/>
    <s v="4200"/>
    <m/>
    <m/>
    <m/>
    <m/>
    <s v=""/>
    <s v=""/>
    <s v=""/>
    <s v=""/>
    <s v=""/>
    <m/>
    <s v="アイテム"/>
    <s v="sites/itsupport/Lists/PC Flight 4"/>
  </r>
  <r>
    <s v="FMIPC1218"/>
    <m/>
    <m/>
    <m/>
    <m/>
    <s v="濵田 寛明"/>
    <m/>
    <m/>
    <m/>
    <b v="0"/>
    <x v="0"/>
    <x v="5"/>
    <s v="SSD512GB"/>
    <s v="16G"/>
    <s v="6985525"/>
    <s v="20VJS17X00"/>
    <s v="PW01E7B2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19"/>
    <m/>
    <m/>
    <m/>
    <m/>
    <s v="深夜勤務アカウント2(MC)"/>
    <m/>
    <m/>
    <m/>
    <b v="0"/>
    <x v="0"/>
    <x v="5"/>
    <s v="SSD512GB"/>
    <s v="16G"/>
    <s v="6985526"/>
    <s v="20VJS17X00"/>
    <s v="PW01E7AZ"/>
    <s v="第28次"/>
    <d v="2022-07-31T15:00:00"/>
    <m/>
    <x v="15"/>
    <s v="（仮）横河レンタリース"/>
    <m/>
    <m/>
    <m/>
    <s v="D22-522"/>
    <s v="1220802224"/>
    <m/>
    <m/>
    <m/>
    <m/>
    <m/>
    <m/>
    <m/>
    <s v=""/>
    <s v=""/>
    <s v=""/>
    <s v=""/>
    <s v=""/>
    <m/>
    <s v="アイテム"/>
    <s v="sites/itsupport/Lists/PC Flight 4"/>
  </r>
  <r>
    <s v="FMIPC1220"/>
    <m/>
    <m/>
    <m/>
    <m/>
    <m/>
    <m/>
    <m/>
    <m/>
    <b v="0"/>
    <x v="0"/>
    <x v="5"/>
    <s v="SSD512GB"/>
    <s v="16G"/>
    <s v="6985527"/>
    <s v="20VJS17X00"/>
    <s v="PW01E7CA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21"/>
    <m/>
    <m/>
    <m/>
    <m/>
    <s v="澤田 英樹&lt;田村 草太&lt;村瀬 協吾③"/>
    <m/>
    <m/>
    <m/>
    <b v="0"/>
    <x v="0"/>
    <x v="5"/>
    <s v="SSD512GB"/>
    <s v="16G"/>
    <s v="6850899"/>
    <s v="20VJS17X00"/>
    <s v="PW00QXR5"/>
    <s v="第28次"/>
    <d v="2022-07-31T15:00:00"/>
    <s v="6985528の代替機"/>
    <x v="15"/>
    <s v="（仮）横河レンタリース"/>
    <m/>
    <m/>
    <m/>
    <s v="D22-522"/>
    <s v="1220802224"/>
    <m/>
    <m/>
    <s v="4200"/>
    <m/>
    <m/>
    <s v="リプレース"/>
    <m/>
    <s v=""/>
    <s v=""/>
    <s v=""/>
    <s v=""/>
    <s v=""/>
    <m/>
    <s v="アイテム"/>
    <s v="sites/itsupport/Lists/PC Flight 4"/>
  </r>
  <r>
    <s v="FMIPC1222"/>
    <m/>
    <m/>
    <m/>
    <m/>
    <s v="マスターPC&lt;田辺 絢太郎"/>
    <m/>
    <m/>
    <m/>
    <b v="0"/>
    <x v="0"/>
    <x v="5"/>
    <s v="SSD512GB"/>
    <s v="16G"/>
    <s v="6985529"/>
    <s v="20VJS17X00"/>
    <s v="PW01E79Z"/>
    <s v="第28次"/>
    <d v="2022-07-31T15:00:00"/>
    <m/>
    <x v="15"/>
    <s v="（仮）横河レンタリース"/>
    <m/>
    <m/>
    <m/>
    <s v="D22-522"/>
    <s v="1220802224"/>
    <m/>
    <m/>
    <s v="4200"/>
    <m/>
    <m/>
    <m/>
    <m/>
    <s v=""/>
    <s v=""/>
    <s v=""/>
    <s v=""/>
    <s v=""/>
    <m/>
    <s v="アイテム"/>
    <s v="sites/itsupport/Lists/PC Flight 4"/>
  </r>
  <r>
    <s v="FMIPC1223"/>
    <m/>
    <m/>
    <m/>
    <m/>
    <s v="深夜勤務アカウント2(MC)"/>
    <m/>
    <m/>
    <m/>
    <b v="0"/>
    <x v="0"/>
    <x v="5"/>
    <s v="SSD512GB"/>
    <s v="16G"/>
    <s v="6535697"/>
    <s v="20VJS17X00"/>
    <s v="R912B010"/>
    <s v="第28次"/>
    <d v="2022-07-31T15:00:00"/>
    <m/>
    <x v="16"/>
    <s v="（仮）横河レンタリース"/>
    <m/>
    <m/>
    <m/>
    <s v="D22-522"/>
    <s v="1220802225"/>
    <m/>
    <m/>
    <m/>
    <m/>
    <m/>
    <m/>
    <m/>
    <s v=""/>
    <s v=""/>
    <s v=""/>
    <s v=""/>
    <s v=""/>
    <m/>
    <s v="アイテム"/>
    <s v="sites/itsupport/Lists/PC Flight 4"/>
  </r>
  <r>
    <s v="FMIPC1224"/>
    <m/>
    <m/>
    <m/>
    <m/>
    <s v="鈴木 亮一"/>
    <m/>
    <m/>
    <m/>
    <b v="0"/>
    <x v="0"/>
    <x v="5"/>
    <s v="SSD512GB"/>
    <s v="16G"/>
    <s v="6543152"/>
    <s v="20VJS17X00"/>
    <s v="R912B00Y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25"/>
    <m/>
    <s v="大連サポートデスク使用(neusoftuser)"/>
    <s v="neusoftadmin@frontier-mgmt.com"/>
    <s v="特殊タスク"/>
    <s v="渡邉 慎一&lt;佐久間 祐綱"/>
    <m/>
    <m/>
    <m/>
    <b v="0"/>
    <x v="2"/>
    <x v="5"/>
    <s v="SSD512GB"/>
    <s v="16G"/>
    <s v="6977881"/>
    <s v="20VJS17X00"/>
    <s v="PW01E7AT"/>
    <s v="第28次"/>
    <d v="2022-07-31T15:00:00"/>
    <m/>
    <x v="16"/>
    <s v="（仮）横河レンタリース"/>
    <m/>
    <m/>
    <s v="25年7月になったら横河レンタリースに買取を指示"/>
    <s v="D22-522"/>
    <s v="1220802225"/>
    <m/>
    <m/>
    <s v="4200"/>
    <m/>
    <m/>
    <s v="その他（故障交換等で対応済）"/>
    <m/>
    <s v="neusoftadmin@frontier-mgmt.com;#176"/>
    <s v="Neusoft;#176"/>
    <s v="盛;#176"/>
    <s v="剛;#176"/>
    <s v="ITヘルプデスク;#176"/>
    <m/>
    <s v="アイテム"/>
    <s v="sites/itsupport/Lists/PC Flight 4"/>
  </r>
  <r>
    <s v="FMIPC1226"/>
    <m/>
    <m/>
    <m/>
    <m/>
    <s v="明松 優&lt;津村 裕之"/>
    <m/>
    <m/>
    <m/>
    <b v="0"/>
    <x v="0"/>
    <x v="5"/>
    <s v="SSD512GB"/>
    <s v="16G"/>
    <s v="6784933"/>
    <s v="20VJS17X00"/>
    <s v="PW0065DF"/>
    <s v="第28次"/>
    <d v="2022-07-31T15:00:00"/>
    <s v="6977882の代替機"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27"/>
    <m/>
    <m/>
    <m/>
    <m/>
    <s v="深夜勤務アカウント3(CS)"/>
    <m/>
    <m/>
    <m/>
    <b v="0"/>
    <x v="0"/>
    <x v="5"/>
    <s v="SSD512GB"/>
    <s v="16G"/>
    <s v="6977883"/>
    <s v="20VJS17X00"/>
    <s v="PW01ELTC"/>
    <s v="第28次"/>
    <d v="2022-07-31T15:00:00"/>
    <m/>
    <x v="16"/>
    <s v="（仮）横河レンタリース"/>
    <m/>
    <m/>
    <m/>
    <s v="D22-522"/>
    <s v="1220802225"/>
    <m/>
    <m/>
    <m/>
    <m/>
    <m/>
    <m/>
    <m/>
    <s v=""/>
    <s v=""/>
    <s v=""/>
    <s v=""/>
    <s v=""/>
    <m/>
    <s v="アイテム"/>
    <s v="sites/itsupport/Lists/PC Flight 4"/>
  </r>
  <r>
    <s v="FMIPC1228"/>
    <m/>
    <m/>
    <m/>
    <m/>
    <s v="館 英一"/>
    <m/>
    <m/>
    <m/>
    <b v="0"/>
    <x v="0"/>
    <x v="5"/>
    <s v="SSD512GB"/>
    <s v="16G"/>
    <s v="6977884"/>
    <s v="20VJS17X00"/>
    <s v="PW01E7C3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29"/>
    <m/>
    <m/>
    <m/>
    <m/>
    <s v="谷口 隼人＜リスク管理貸出用＜吉田 圭佑＜古賀 彰"/>
    <m/>
    <m/>
    <m/>
    <b v="0"/>
    <x v="0"/>
    <x v="5"/>
    <s v="SSD512GB"/>
    <s v="16G"/>
    <s v="7144080"/>
    <s v="20VJS17X00"/>
    <s v="PW01LJ5V"/>
    <s v="第28次"/>
    <d v="2022-07-31T15:00:00"/>
    <s v="6977885の代替機"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0"/>
    <m/>
    <m/>
    <m/>
    <m/>
    <s v="納富 健一&lt;山縣 あずさ&lt;小石 彩萌"/>
    <m/>
    <m/>
    <m/>
    <b v="0"/>
    <x v="0"/>
    <x v="5"/>
    <s v="SSD512GB"/>
    <s v="16G"/>
    <s v="6977886"/>
    <s v="20VJS17X00"/>
    <s v="PW01ELTY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1"/>
    <m/>
    <m/>
    <m/>
    <m/>
    <s v="馬込 正吾&lt;前田 竜"/>
    <m/>
    <m/>
    <m/>
    <b v="0"/>
    <x v="0"/>
    <x v="5"/>
    <s v="SSD512GB"/>
    <s v="16G"/>
    <s v="6977887"/>
    <s v="20VJS17X00"/>
    <s v="PW01ELWD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2"/>
    <m/>
    <m/>
    <m/>
    <m/>
    <s v="秋田 昌洋&lt;早川 友啓"/>
    <m/>
    <m/>
    <m/>
    <b v="0"/>
    <x v="0"/>
    <x v="5"/>
    <s v="SSD512GB"/>
    <s v="16G"/>
    <s v="6977888"/>
    <s v="20VJS17X00"/>
    <s v="PW01ELVK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3"/>
    <m/>
    <m/>
    <m/>
    <m/>
    <s v="後藤 尊志"/>
    <m/>
    <m/>
    <m/>
    <b v="0"/>
    <x v="0"/>
    <x v="5"/>
    <s v="SSD512GB"/>
    <s v="16G"/>
    <s v="6977889"/>
    <s v="20VJS17X00"/>
    <s v="PW01ELW2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4"/>
    <m/>
    <m/>
    <m/>
    <m/>
    <s v="茅原 太一&gt;渡部 泰紀&gt;高野 陽子"/>
    <m/>
    <m/>
    <m/>
    <b v="0"/>
    <x v="0"/>
    <x v="5"/>
    <s v="SSD512GB"/>
    <s v="16G"/>
    <s v="6854464"/>
    <s v="20VJS17X00"/>
    <s v="PW00S8ZG"/>
    <s v="第28次"/>
    <d v="2022-07-31T15:00:00"/>
    <s v="6977890の代替品"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35"/>
    <m/>
    <m/>
    <m/>
    <m/>
    <s v="鈴木 愛美"/>
    <m/>
    <m/>
    <m/>
    <b v="0"/>
    <x v="0"/>
    <x v="5"/>
    <s v="SSD512GB"/>
    <s v="16G"/>
    <s v="6977891"/>
    <s v="20VJS17X00"/>
    <s v="PW01ELT3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36"/>
    <m/>
    <m/>
    <m/>
    <m/>
    <s v="彦工 伸治"/>
    <m/>
    <m/>
    <m/>
    <b v="0"/>
    <x v="0"/>
    <x v="5"/>
    <s v="SSD512GB"/>
    <s v="16G"/>
    <s v="6977892"/>
    <s v="20VJS17X00"/>
    <s v="PW01ELW1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37"/>
    <m/>
    <m/>
    <m/>
    <m/>
    <s v="九段 花子&lt;福田 佑也&lt;米田 貴子"/>
    <m/>
    <m/>
    <m/>
    <b v="0"/>
    <x v="0"/>
    <x v="5"/>
    <s v="SSD512GB"/>
    <s v="16G"/>
    <s v="6977893"/>
    <s v="20VJS17X00"/>
    <s v="PW01ELW5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8"/>
    <m/>
    <m/>
    <m/>
    <m/>
    <s v="古賀 彰&lt;志賀 俊希"/>
    <m/>
    <m/>
    <m/>
    <b v="0"/>
    <x v="0"/>
    <x v="5"/>
    <s v="SSD512GB"/>
    <s v="16G"/>
    <s v="6658896"/>
    <s v="20VJS17X00"/>
    <s v="R913Z778"/>
    <s v="第28次"/>
    <d v="2022-07-31T15:00:00"/>
    <s v="6977894の代替機"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39"/>
    <m/>
    <m/>
    <m/>
    <m/>
    <s v="工藤 友紀"/>
    <m/>
    <m/>
    <m/>
    <b v="0"/>
    <x v="0"/>
    <x v="5"/>
    <s v="SSD512GB"/>
    <s v="16G"/>
    <s v="6977895"/>
    <s v="20VJS17X00"/>
    <s v="PW01ELSY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40"/>
    <m/>
    <m/>
    <m/>
    <m/>
    <s v="栗田 弓子"/>
    <m/>
    <m/>
    <m/>
    <b v="0"/>
    <x v="0"/>
    <x v="5"/>
    <s v="SSD512GB"/>
    <s v="16G"/>
    <s v="6977896"/>
    <s v="20VJS17X00"/>
    <s v="PW01ELWH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1"/>
    <m/>
    <m/>
    <m/>
    <m/>
    <s v="安部 真希"/>
    <m/>
    <m/>
    <m/>
    <b v="0"/>
    <x v="0"/>
    <x v="5"/>
    <s v="SSD512GB"/>
    <s v="16G"/>
    <s v="6977897"/>
    <s v="20VJS17X00"/>
    <s v="PW01ELSX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2"/>
    <m/>
    <m/>
    <m/>
    <m/>
    <s v="近藤 義暁&lt;中道 梓"/>
    <m/>
    <m/>
    <m/>
    <b v="0"/>
    <x v="0"/>
    <x v="5"/>
    <s v="SSD512GB"/>
    <s v="16G"/>
    <s v="6977898"/>
    <s v="20VJS17X00"/>
    <s v="PW01ELT4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3"/>
    <m/>
    <m/>
    <m/>
    <m/>
    <s v="小髙 夏美&lt;葛本 裕和"/>
    <m/>
    <m/>
    <m/>
    <b v="0"/>
    <x v="0"/>
    <x v="5"/>
    <s v="SSD512GB"/>
    <s v="16G"/>
    <s v="6977899"/>
    <s v="20VJS17X00"/>
    <s v="PW01ELTM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44"/>
    <m/>
    <m/>
    <m/>
    <m/>
    <s v="山口 典子"/>
    <m/>
    <m/>
    <m/>
    <b v="0"/>
    <x v="0"/>
    <x v="5"/>
    <s v="SSD512GB"/>
    <s v="16G"/>
    <s v="6977900"/>
    <s v="20VJS17X00"/>
    <s v="PW01ELTL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5"/>
    <m/>
    <m/>
    <m/>
    <m/>
    <s v="池田 綾子"/>
    <m/>
    <m/>
    <m/>
    <b v="0"/>
    <x v="0"/>
    <x v="5"/>
    <s v="SSD512GB"/>
    <s v="16G"/>
    <s v="6977901"/>
    <s v="20VJS17X00"/>
    <s v="PW01ELTG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6"/>
    <m/>
    <m/>
    <m/>
    <m/>
    <s v="佐藤 直"/>
    <m/>
    <m/>
    <m/>
    <b v="0"/>
    <x v="0"/>
    <x v="5"/>
    <s v="SSD512GB"/>
    <s v="16G"/>
    <s v="6977902"/>
    <s v="20VJS17X00"/>
    <s v="PW01ELW9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47"/>
    <m/>
    <m/>
    <m/>
    <m/>
    <s v="川端 亮平＜勝田 菜菜子"/>
    <m/>
    <m/>
    <m/>
    <b v="0"/>
    <x v="0"/>
    <x v="5"/>
    <s v="SSD512GB"/>
    <s v="16G"/>
    <s v="6780560"/>
    <s v="20VJS17X00"/>
    <s v="PW005AXV"/>
    <s v="第28次"/>
    <d v="2022-07-31T15:00:00"/>
    <s v="6539258の代替機"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48"/>
    <m/>
    <m/>
    <m/>
    <m/>
    <s v="井上 圭子&lt;松若　恵理子"/>
    <m/>
    <m/>
    <m/>
    <b v="0"/>
    <x v="0"/>
    <x v="5"/>
    <s v="SSD512GB"/>
    <s v="16G"/>
    <s v="6977904"/>
    <s v="20VJS17X00"/>
    <s v="PW01ELW4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49"/>
    <m/>
    <m/>
    <m/>
    <m/>
    <s v="松尾 なりす"/>
    <m/>
    <m/>
    <m/>
    <b v="0"/>
    <x v="0"/>
    <x v="5"/>
    <s v="SSD512GB"/>
    <s v="16G"/>
    <s v="6977905"/>
    <s v="20VJS17X00"/>
    <s v="PW01ELVJ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50"/>
    <m/>
    <m/>
    <m/>
    <m/>
    <s v="宇田 香織"/>
    <m/>
    <m/>
    <m/>
    <b v="0"/>
    <x v="0"/>
    <x v="5"/>
    <s v="SSD512GB"/>
    <s v="16G"/>
    <s v="6977906"/>
    <s v="20VJS17X00"/>
    <s v="PW01ELWQ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51"/>
    <m/>
    <m/>
    <m/>
    <m/>
    <s v="志賀 俊希＜榑沼 道久"/>
    <m/>
    <m/>
    <m/>
    <b v="0"/>
    <x v="0"/>
    <x v="5"/>
    <s v="SSD512GB"/>
    <s v="16G"/>
    <s v="6977907"/>
    <s v="20VJS17X00"/>
    <s v="PW01ELVR"/>
    <s v="第28次"/>
    <d v="2022-07-31T15:00:00"/>
    <m/>
    <x v="16"/>
    <s v="（仮）横河レンタリース"/>
    <m/>
    <m/>
    <m/>
    <s v="D22-522"/>
    <s v="1220802225"/>
    <m/>
    <m/>
    <s v="4200"/>
    <m/>
    <m/>
    <s v="対応不要"/>
    <m/>
    <s v=""/>
    <s v=""/>
    <s v=""/>
    <s v=""/>
    <s v=""/>
    <m/>
    <s v="アイテム"/>
    <s v="sites/itsupport/Lists/PC Flight 4"/>
  </r>
  <r>
    <s v="FMIPC1252"/>
    <m/>
    <m/>
    <m/>
    <m/>
    <s v="徳竹 沙知子&lt;鎌田 聖也"/>
    <m/>
    <m/>
    <m/>
    <b v="0"/>
    <x v="0"/>
    <x v="5"/>
    <s v="SSD512GB"/>
    <s v="16G"/>
    <s v="6977908"/>
    <s v="20VJS17X00"/>
    <s v="PW01ELVM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53"/>
    <m/>
    <m/>
    <m/>
    <m/>
    <s v="榊 弓子"/>
    <m/>
    <m/>
    <m/>
    <b v="0"/>
    <x v="0"/>
    <x v="5"/>
    <s v="SSD512GB"/>
    <s v="16G"/>
    <s v="6977909"/>
    <s v="20VJS17X00"/>
    <s v="PW01ELT5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54"/>
    <m/>
    <m/>
    <m/>
    <m/>
    <s v="松井 佑磨"/>
    <m/>
    <m/>
    <m/>
    <b v="0"/>
    <x v="0"/>
    <x v="5"/>
    <s v="SSD512GB"/>
    <s v="16G"/>
    <s v="6977910"/>
    <s v="20VJS17X00"/>
    <s v="PW01ELSZ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55"/>
    <m/>
    <m/>
    <m/>
    <m/>
    <s v="磯野  亨&lt;和田 勇人"/>
    <m/>
    <m/>
    <m/>
    <b v="0"/>
    <x v="0"/>
    <x v="5"/>
    <s v="SSD512GB"/>
    <s v="16G"/>
    <s v="6977911"/>
    <s v="20VJS17X00"/>
    <s v="PW01ELWN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56"/>
    <m/>
    <m/>
    <m/>
    <m/>
    <s v="中村　吉貴＜岡本 聡志"/>
    <m/>
    <m/>
    <m/>
    <b v="0"/>
    <x v="0"/>
    <x v="5"/>
    <s v="SSD512GB"/>
    <s v="16G"/>
    <s v="6977912"/>
    <s v="20VJS17X00"/>
    <s v="PW01ELVT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57"/>
    <m/>
    <m/>
    <m/>
    <m/>
    <s v="藤田 美紗子"/>
    <m/>
    <m/>
    <m/>
    <b v="0"/>
    <x v="0"/>
    <x v="5"/>
    <s v="SSD512GB"/>
    <s v="16G"/>
    <s v="6977913"/>
    <s v="20VJS17X00"/>
    <s v="PW01ELV0"/>
    <s v="第28次"/>
    <d v="2022-07-31T15:00:00"/>
    <m/>
    <x v="16"/>
    <s v="（仮）横河レンタリース"/>
    <m/>
    <m/>
    <m/>
    <s v="D22-522"/>
    <s v="1220802225"/>
    <m/>
    <m/>
    <s v="4200"/>
    <m/>
    <m/>
    <s v="その他（故障交換等で対応済）"/>
    <m/>
    <s v=""/>
    <s v=""/>
    <s v=""/>
    <s v=""/>
    <s v=""/>
    <m/>
    <s v="アイテム"/>
    <s v="sites/itsupport/Lists/PC Flight 4"/>
  </r>
  <r>
    <s v="FMIPC1258"/>
    <m/>
    <m/>
    <m/>
    <m/>
    <s v="羽生 和陽&gt;塩田 英俊"/>
    <m/>
    <m/>
    <m/>
    <b v="0"/>
    <x v="0"/>
    <x v="5"/>
    <s v="SSD512GB"/>
    <s v="16G"/>
    <s v="6977914"/>
    <s v="20VJS17X00"/>
    <s v="PW01ELTF"/>
    <s v="第28次"/>
    <d v="2022-07-31T15:00:00"/>
    <m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59"/>
    <m/>
    <m/>
    <m/>
    <m/>
    <s v="村上 武史＜池松 知永子＜安下 人生"/>
    <m/>
    <m/>
    <m/>
    <b v="0"/>
    <x v="0"/>
    <x v="5"/>
    <s v="SSD512GB"/>
    <s v="16G"/>
    <s v="7139178"/>
    <s v="20VJS17X00"/>
    <s v="PW01LJ7V"/>
    <s v="第28次"/>
    <d v="2022-07-31T15:00:00"/>
    <s v="6977915の代替品"/>
    <x v="16"/>
    <s v="（仮）横河レンタリース"/>
    <m/>
    <m/>
    <m/>
    <s v="D22-522"/>
    <s v="1220802225"/>
    <m/>
    <m/>
    <s v="4200"/>
    <m/>
    <m/>
    <s v="リプレース"/>
    <m/>
    <s v=""/>
    <s v=""/>
    <s v=""/>
    <s v=""/>
    <s v=""/>
    <m/>
    <s v="アイテム"/>
    <s v="sites/itsupport/Lists/PC Flight 4"/>
  </r>
  <r>
    <s v="FMIPC1260"/>
    <m/>
    <m/>
    <m/>
    <m/>
    <s v="高井良 拓紀"/>
    <m/>
    <m/>
    <m/>
    <b v="0"/>
    <x v="0"/>
    <x v="5"/>
    <s v="SSD512GB"/>
    <s v="16G"/>
    <s v="6977929"/>
    <s v="20VJS17X00"/>
    <s v="PW01ELV3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61"/>
    <m/>
    <m/>
    <m/>
    <m/>
    <s v="竹下 薫"/>
    <m/>
    <m/>
    <m/>
    <b v="0"/>
    <x v="0"/>
    <x v="5"/>
    <s v="SSD512GB"/>
    <s v="16G"/>
    <s v="6977930"/>
    <s v="20VJS17X00"/>
    <s v="PW01ELT8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62"/>
    <m/>
    <m/>
    <m/>
    <m/>
    <s v="横倉 有紀"/>
    <m/>
    <m/>
    <m/>
    <b v="0"/>
    <x v="0"/>
    <x v="5"/>
    <s v="SSD512GB"/>
    <s v="16G"/>
    <s v="6984496"/>
    <s v="20VJS17X00"/>
    <s v="PW01E7AW"/>
    <s v="第28次"/>
    <d v="2022-07-31T15:00:00"/>
    <m/>
    <x v="16"/>
    <s v="（仮）横河レンタリース"/>
    <m/>
    <m/>
    <m/>
    <s v="D22-522"/>
    <s v="1220802225"/>
    <m/>
    <m/>
    <s v="4200"/>
    <m/>
    <m/>
    <m/>
    <m/>
    <s v=""/>
    <s v=""/>
    <s v=""/>
    <s v=""/>
    <s v=""/>
    <m/>
    <s v="アイテム"/>
    <s v="sites/itsupport/Lists/PC Flight 4"/>
  </r>
  <r>
    <s v="FMIPC1263"/>
    <m/>
    <m/>
    <m/>
    <m/>
    <s v="稲田 憲彦&lt;中村 雅一&lt;中島 あかり＜越守 丈太郎"/>
    <m/>
    <m/>
    <m/>
    <b v="0"/>
    <x v="0"/>
    <x v="5"/>
    <s v="SSD512GB"/>
    <s v="16G"/>
    <s v="6974072"/>
    <s v="20VJS17X00"/>
    <s v="PW01E748"/>
    <s v="第28次"/>
    <d v="2022-07-31T15:00:00"/>
    <s v="6985530の代替品"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64"/>
    <m/>
    <m/>
    <m/>
    <m/>
    <s v="藤澤 順也"/>
    <m/>
    <m/>
    <m/>
    <b v="0"/>
    <x v="0"/>
    <x v="5"/>
    <s v="SSD512GB"/>
    <s v="16G"/>
    <s v="6985531"/>
    <s v="20VJS17X00"/>
    <s v="PW01E7BC"/>
    <s v="第28次"/>
    <d v="2022-07-31T15:00:00"/>
    <m/>
    <x v="17"/>
    <s v="（仮）横河レンタリース"/>
    <m/>
    <m/>
    <m/>
    <s v="D22-522"/>
    <s v="1220802226"/>
    <m/>
    <m/>
    <s v="4200"/>
    <m/>
    <m/>
    <s v="対応不要"/>
    <m/>
    <s v=""/>
    <s v=""/>
    <s v=""/>
    <s v=""/>
    <s v=""/>
    <m/>
    <s v="アイテム"/>
    <s v="sites/itsupport/Lists/PC Flight 4"/>
  </r>
  <r>
    <s v="FMIPC1265"/>
    <m/>
    <m/>
    <m/>
    <m/>
    <s v="泰永 大輔"/>
    <m/>
    <m/>
    <m/>
    <b v="0"/>
    <x v="0"/>
    <x v="5"/>
    <s v="SSD512GB"/>
    <s v="16G"/>
    <s v="6770971"/>
    <s v="20VJS17X00"/>
    <s v="PW01E7C7"/>
    <s v="第28次"/>
    <d v="2022-07-31T15:00:00"/>
    <s v="6985532の代替品"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66"/>
    <m/>
    <m/>
    <m/>
    <m/>
    <s v="福森 正紘&lt;前田 竜＜市川　元博&lt;山本 稔＜高橋 義昭"/>
    <m/>
    <m/>
    <m/>
    <b v="0"/>
    <x v="0"/>
    <x v="5"/>
    <s v="SSD512GB"/>
    <s v="16G"/>
    <s v="6985533"/>
    <s v="20VJS17X00"/>
    <s v="PW01E7A4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67"/>
    <m/>
    <m/>
    <m/>
    <m/>
    <s v="山下 裕介&lt;菅谷 貴志"/>
    <m/>
    <m/>
    <m/>
    <b v="0"/>
    <x v="0"/>
    <x v="5"/>
    <s v="SSD512GB"/>
    <s v="16G"/>
    <s v="6985534"/>
    <s v="20VJS17X00"/>
    <s v="PW01E7BQ"/>
    <s v="第28次"/>
    <d v="2022-07-31T15:00:00"/>
    <m/>
    <x v="17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68"/>
    <m/>
    <m/>
    <m/>
    <m/>
    <s v="越守 丈太郎&lt;井上 幸治＜長谷川 涼"/>
    <m/>
    <m/>
    <m/>
    <b v="0"/>
    <x v="0"/>
    <x v="5"/>
    <s v="SSD512GB"/>
    <s v="16G"/>
    <s v="6985535"/>
    <s v="20VJS17X00"/>
    <s v="PW01E7CE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69"/>
    <m/>
    <m/>
    <m/>
    <m/>
    <s v="山岸 典博"/>
    <m/>
    <m/>
    <m/>
    <b v="0"/>
    <x v="0"/>
    <x v="5"/>
    <s v="SSD512GB"/>
    <s v="16G"/>
    <s v="6985536"/>
    <s v="20VJS17X00"/>
    <s v="PW01E7AR"/>
    <s v="第28次"/>
    <d v="2022-07-31T15:00:00"/>
    <m/>
    <x v="17"/>
    <s v="（仮）横河レンタリース"/>
    <m/>
    <m/>
    <m/>
    <s v="D22-522"/>
    <s v="1220802226"/>
    <m/>
    <m/>
    <s v="4200"/>
    <m/>
    <m/>
    <s v="対応不要"/>
    <m/>
    <s v=""/>
    <s v=""/>
    <s v=""/>
    <s v=""/>
    <s v=""/>
    <m/>
    <s v="アイテム"/>
    <s v="sites/itsupport/Lists/PC Flight 4"/>
  </r>
  <r>
    <s v="FMIPC1270"/>
    <m/>
    <m/>
    <m/>
    <m/>
    <s v="高久 昌英"/>
    <m/>
    <m/>
    <m/>
    <b v="0"/>
    <x v="0"/>
    <x v="5"/>
    <s v="SSD512GB"/>
    <s v="16G"/>
    <s v="6985537"/>
    <s v="20VJS17X00"/>
    <s v="PW01E7BA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71"/>
    <m/>
    <m/>
    <m/>
    <m/>
    <s v="渡辺 隆太"/>
    <m/>
    <m/>
    <m/>
    <b v="0"/>
    <x v="0"/>
    <x v="5"/>
    <s v="SSD512GB"/>
    <s v="16G"/>
    <s v="6985538"/>
    <s v="20VJS17X00"/>
    <s v="PW01E79G"/>
    <s v="第28次"/>
    <d v="2022-07-31T15:00:00"/>
    <m/>
    <x v="17"/>
    <s v="（仮）横河レンタリース"/>
    <m/>
    <m/>
    <m/>
    <s v="D22-522"/>
    <s v="1220802226"/>
    <m/>
    <m/>
    <s v="4200"/>
    <m/>
    <m/>
    <s v="対応不要"/>
    <m/>
    <s v=""/>
    <s v=""/>
    <s v=""/>
    <s v=""/>
    <s v=""/>
    <m/>
    <s v="アイテム"/>
    <s v="sites/itsupport/Lists/PC Flight 4"/>
  </r>
  <r>
    <s v="FMIPC1272"/>
    <m/>
    <m/>
    <m/>
    <m/>
    <s v="浅沼 大貴"/>
    <m/>
    <m/>
    <m/>
    <b v="0"/>
    <x v="0"/>
    <x v="5"/>
    <s v="SSD512GB"/>
    <s v="16G"/>
    <s v="6985539"/>
    <s v="20VJS17X00"/>
    <s v="PW01E7C0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73"/>
    <m/>
    <m/>
    <m/>
    <m/>
    <s v="小笠原 素規"/>
    <m/>
    <m/>
    <m/>
    <b v="0"/>
    <x v="0"/>
    <x v="5"/>
    <s v="SSD512GB"/>
    <s v="16G"/>
    <s v="6985540"/>
    <s v="20VJS17X00"/>
    <s v="PW01E7B9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s v="FMI;#FCI出向"/>
    <s v="アイテム"/>
    <s v="sites/itsupport/Lists/PC Flight 4"/>
  </r>
  <r>
    <s v="FMIPC1274"/>
    <m/>
    <m/>
    <m/>
    <m/>
    <s v="西山 千晶"/>
    <m/>
    <m/>
    <m/>
    <b v="0"/>
    <x v="0"/>
    <x v="5"/>
    <s v="SSD512GB"/>
    <s v="16G"/>
    <s v="6985541"/>
    <s v="20VJS17X00"/>
    <s v="PW01E79Q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75"/>
    <m/>
    <m/>
    <m/>
    <m/>
    <s v="楊 雪禕"/>
    <m/>
    <m/>
    <m/>
    <b v="0"/>
    <x v="0"/>
    <x v="5"/>
    <s v="SSD512GB"/>
    <s v="16G"/>
    <s v="6985542"/>
    <s v="20VJS17X00"/>
    <s v="PW01E7B3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76"/>
    <m/>
    <m/>
    <m/>
    <m/>
    <s v="橋本 哲也"/>
    <m/>
    <m/>
    <m/>
    <b v="0"/>
    <x v="0"/>
    <x v="5"/>
    <s v="SSD512GB"/>
    <s v="16GB"/>
    <s v="6985543"/>
    <s v="20VJS17X00"/>
    <s v="PW01E7BF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s v="FCI"/>
    <s v="アイテム"/>
    <s v="sites/itsupport/Lists/PC Flight 4"/>
  </r>
  <r>
    <s v="FMIPC1277"/>
    <m/>
    <m/>
    <m/>
    <m/>
    <s v="松嶋 範尚&lt;福井 珠季"/>
    <m/>
    <m/>
    <m/>
    <b v="0"/>
    <x v="0"/>
    <x v="5"/>
    <s v="SSD512GB"/>
    <s v="16G"/>
    <s v="6985544"/>
    <s v="20VJS17X00"/>
    <s v="PW01E7AM"/>
    <s v="第28次"/>
    <d v="2022-07-31T15:00:00"/>
    <m/>
    <x v="16"/>
    <s v="（仮）横河レンタリース"/>
    <m/>
    <m/>
    <m/>
    <s v="D22-522"/>
    <s v="1220802226"/>
    <s v="10月7日"/>
    <m/>
    <s v="4200"/>
    <m/>
    <m/>
    <m/>
    <m/>
    <s v=""/>
    <s v=""/>
    <s v=""/>
    <s v=""/>
    <s v=""/>
    <m/>
    <s v="アイテム"/>
    <s v="sites/itsupport/Lists/PC Flight 4"/>
  </r>
  <r>
    <s v="FMIPC1278"/>
    <m/>
    <m/>
    <m/>
    <m/>
    <s v="友清 小夜香"/>
    <m/>
    <m/>
    <m/>
    <b v="0"/>
    <x v="0"/>
    <x v="5"/>
    <s v="SSD512GB"/>
    <s v="16G"/>
    <s v="6985545"/>
    <s v="20VJS17X00"/>
    <s v="PW01E7B5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79"/>
    <m/>
    <m/>
    <m/>
    <m/>
    <s v="羅 恵"/>
    <m/>
    <m/>
    <m/>
    <b v="0"/>
    <x v="0"/>
    <x v="5"/>
    <s v="SSD512GB"/>
    <s v="16G"/>
    <s v="6985546"/>
    <s v="20VJS17X00"/>
    <s v="PW01E7B6"/>
    <s v="第28次"/>
    <d v="2022-07-31T15:00:00"/>
    <m/>
    <x v="17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80"/>
    <m/>
    <m/>
    <m/>
    <m/>
    <s v="柏原 綾子"/>
    <m/>
    <m/>
    <m/>
    <b v="0"/>
    <x v="0"/>
    <x v="5"/>
    <s v="SSD512GB"/>
    <s v="16G"/>
    <s v="6985547"/>
    <s v="20VJS17X00"/>
    <s v="PW01E7AE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81"/>
    <m/>
    <m/>
    <m/>
    <m/>
    <s v="川島 一誠＜前田 竜&lt;福森 正紘"/>
    <m/>
    <m/>
    <m/>
    <b v="0"/>
    <x v="0"/>
    <x v="5"/>
    <s v="SSD512GB"/>
    <s v="16G"/>
    <s v="6977915"/>
    <s v="20VJS17X00"/>
    <s v="PW01ELVH"/>
    <s v="第28次"/>
    <d v="2022-07-31T15:00:00"/>
    <s v="6985548の代替品, 6780544の代替品"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82"/>
    <m/>
    <m/>
    <m/>
    <m/>
    <s v="川喜田 昭博"/>
    <m/>
    <m/>
    <m/>
    <b v="0"/>
    <x v="0"/>
    <x v="5"/>
    <s v="SSD512GB"/>
    <s v="16G"/>
    <s v="6985549"/>
    <s v="20VJS17X00"/>
    <s v="PW01E7C2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83"/>
    <m/>
    <m/>
    <m/>
    <m/>
    <s v="千種 美生"/>
    <m/>
    <m/>
    <m/>
    <b v="0"/>
    <x v="0"/>
    <x v="5"/>
    <s v="SSD512GB"/>
    <s v="16G"/>
    <s v="6985550"/>
    <s v="20VJS17X00"/>
    <s v="PW01E79N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s v="FMI;#FCI出向"/>
    <s v="アイテム"/>
    <s v="sites/itsupport/Lists/PC Flight 4"/>
  </r>
  <r>
    <s v="FMIPC1284"/>
    <m/>
    <m/>
    <m/>
    <m/>
    <s v="金沢 朋幸"/>
    <m/>
    <m/>
    <m/>
    <b v="0"/>
    <x v="0"/>
    <x v="5"/>
    <s v="SSD512GB"/>
    <s v="16G"/>
    <s v="6985551"/>
    <s v="20VJS17X00"/>
    <s v="PW01E79J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85"/>
    <m/>
    <m/>
    <m/>
    <m/>
    <s v="火箱 絵美"/>
    <m/>
    <m/>
    <m/>
    <b v="0"/>
    <x v="0"/>
    <x v="5"/>
    <s v="SSD512GB"/>
    <s v="16G"/>
    <s v="6985552"/>
    <s v="20VJS17X00"/>
    <s v="PW01E7A2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86"/>
    <m/>
    <m/>
    <m/>
    <m/>
    <s v="遠藤 春美＜二宮 茂明"/>
    <m/>
    <m/>
    <m/>
    <b v="0"/>
    <x v="0"/>
    <x v="5"/>
    <s v="SSD512GB"/>
    <s v="16G"/>
    <s v="6619133"/>
    <s v="20VJS17X00"/>
    <s v="R913Z75R"/>
    <s v="第28次"/>
    <d v="2022-07-31T15:00:00"/>
    <s v="6985553の代替品"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87"/>
    <m/>
    <m/>
    <m/>
    <m/>
    <s v="関口 敏光"/>
    <m/>
    <m/>
    <m/>
    <b v="0"/>
    <x v="0"/>
    <x v="5"/>
    <s v="SSD512GB"/>
    <s v="16G"/>
    <s v="6985554"/>
    <s v="20VJS17X00"/>
    <s v="PW01E7C5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m/>
    <s v="アイテム"/>
    <s v="sites/itsupport/Lists/PC Flight 4"/>
  </r>
  <r>
    <s v="FMIPC1288"/>
    <m/>
    <m/>
    <m/>
    <m/>
    <s v="齋藤 千帆&lt;周 璋璦"/>
    <m/>
    <m/>
    <m/>
    <b v="0"/>
    <x v="0"/>
    <x v="5"/>
    <s v="SSD512GB"/>
    <s v="16G"/>
    <s v="6985555"/>
    <s v="20VJS17X00"/>
    <s v="PW01E7BP"/>
    <s v="第28次"/>
    <d v="2022-07-31T15:00:00"/>
    <m/>
    <x v="17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89"/>
    <m/>
    <m/>
    <m/>
    <m/>
    <s v="高野 陽子&lt;山口 大樹"/>
    <m/>
    <m/>
    <m/>
    <b v="0"/>
    <x v="0"/>
    <x v="5"/>
    <s v="SSD512GB"/>
    <s v="16G"/>
    <s v="6985556"/>
    <s v="20VJS17X00"/>
    <s v="PW01E7A7"/>
    <s v="第28次"/>
    <d v="2022-07-31T15:00:00"/>
    <m/>
    <x v="17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90"/>
    <m/>
    <m/>
    <m/>
    <m/>
    <s v="肥沼 正夫"/>
    <m/>
    <m/>
    <m/>
    <b v="0"/>
    <x v="0"/>
    <x v="5"/>
    <s v="SSD512GB"/>
    <s v="16G"/>
    <s v="6985557"/>
    <s v="20VJS17X00"/>
    <s v="PW01E79Y"/>
    <s v="第28次"/>
    <d v="2022-07-31T15:00:00"/>
    <m/>
    <x v="17"/>
    <s v="（仮）横河レンタリース"/>
    <m/>
    <m/>
    <m/>
    <s v="D22-522"/>
    <s v="1220802226"/>
    <m/>
    <m/>
    <s v="4200"/>
    <m/>
    <m/>
    <s v="リプレース"/>
    <m/>
    <s v=""/>
    <s v=""/>
    <s v=""/>
    <s v=""/>
    <s v=""/>
    <s v="FMI;#FCI出向"/>
    <s v="アイテム"/>
    <s v="sites/itsupport/Lists/PC Flight 4"/>
  </r>
  <r>
    <s v="FMIPC1291"/>
    <m/>
    <m/>
    <m/>
    <m/>
    <s v="矢島 政也"/>
    <m/>
    <m/>
    <m/>
    <b v="0"/>
    <x v="0"/>
    <x v="5"/>
    <s v="SSD512GB"/>
    <s v="16G"/>
    <s v="6985558"/>
    <s v="20VJS17X00"/>
    <s v="PW01E7A8"/>
    <s v="第28次"/>
    <d v="2022-07-31T15:00:00"/>
    <m/>
    <x v="16"/>
    <s v="（仮）横河レンタリース"/>
    <m/>
    <m/>
    <m/>
    <s v="D22-522"/>
    <s v="1220802226"/>
    <m/>
    <m/>
    <s v="4200"/>
    <m/>
    <m/>
    <m/>
    <m/>
    <s v=""/>
    <s v=""/>
    <s v=""/>
    <s v=""/>
    <s v=""/>
    <m/>
    <s v="アイテム"/>
    <s v="sites/itsupport/Lists/PC Flight 4"/>
  </r>
  <r>
    <s v="FMIPC1292"/>
    <m/>
    <s v="欠番"/>
    <m/>
    <m/>
    <m/>
    <m/>
    <m/>
    <m/>
    <m/>
    <x v="1"/>
    <x v="9"/>
    <m/>
    <m/>
    <m/>
    <m/>
    <m/>
    <s v="-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293"/>
    <m/>
    <m/>
    <m/>
    <m/>
    <s v="西山 真司&lt;佐久間 祐綱"/>
    <m/>
    <m/>
    <m/>
    <b v="0"/>
    <x v="0"/>
    <x v="5"/>
    <s v="SSD512GB"/>
    <s v="16G"/>
    <s v="6985559"/>
    <s v="20VJ-S17X00"/>
    <s v="PW-01E7AA"/>
    <s v="第30次"/>
    <d v="2022-07-31T15:00:00"/>
    <m/>
    <x v="18"/>
    <s v="（仮）横河レンタリース"/>
    <m/>
    <m/>
    <m/>
    <s v="D22-398"/>
    <s v="1220707909"/>
    <m/>
    <m/>
    <s v="4,200"/>
    <m/>
    <m/>
    <m/>
    <m/>
    <s v=""/>
    <s v=""/>
    <s v=""/>
    <s v=""/>
    <s v=""/>
    <m/>
    <s v="アイテム"/>
    <s v="sites/itsupport/Lists/PC Flight 4"/>
  </r>
  <r>
    <s v="FMIPC1294"/>
    <m/>
    <m/>
    <m/>
    <m/>
    <s v="CSハイスペック"/>
    <m/>
    <m/>
    <m/>
    <b v="0"/>
    <x v="0"/>
    <x v="10"/>
    <m/>
    <m/>
    <m/>
    <s v="HP EliteDesk 800 G6 Small Form Factor PC"/>
    <s v="JPH2090GPL"/>
    <s v="-"/>
    <m/>
    <s v="2022/09の１か月間のみレンタル"/>
    <x v="0"/>
    <s v="オリックス・レンテック"/>
    <m/>
    <m/>
    <s v="返却済み"/>
    <s v="D22-558"/>
    <m/>
    <m/>
    <m/>
    <m/>
    <m/>
    <m/>
    <m/>
    <m/>
    <s v=""/>
    <s v=""/>
    <s v=""/>
    <s v=""/>
    <s v=""/>
    <m/>
    <s v="アイテム"/>
    <s v="sites/itsupport/Lists/PC Flight 4"/>
  </r>
  <r>
    <s v="FMIPC1295"/>
    <s v="FMIPC-xSDF51fOu"/>
    <s v="共有PC/Bloomberg"/>
    <m/>
    <s v="特殊タスク"/>
    <s v="松岡 真宏"/>
    <m/>
    <m/>
    <m/>
    <b v="0"/>
    <x v="2"/>
    <x v="11"/>
    <s v="SSD475GB"/>
    <s v="16G"/>
    <s v="7106454"/>
    <m/>
    <s v="JPH226HDXN"/>
    <s v="第36次"/>
    <d v="2022-09-30T15:00:00"/>
    <s v="Bloomberg,業種別審査事典,Acrobat DC Pro インストール済み"/>
    <x v="19"/>
    <s v="（仮）横河レンタリース"/>
    <m/>
    <m/>
    <m/>
    <s v="D22-571"/>
    <s v="1221001143"/>
    <m/>
    <m/>
    <m/>
    <m/>
    <m/>
    <s v="対応不要"/>
    <m/>
    <s v=""/>
    <s v=""/>
    <s v=""/>
    <s v=""/>
    <s v=""/>
    <m/>
    <s v="アイテム"/>
    <s v="sites/itsupport/Lists/PC Flight 4"/>
  </r>
  <r>
    <s v="FMIPC1296"/>
    <m/>
    <s v="空き番？"/>
    <m/>
    <m/>
    <m/>
    <m/>
    <m/>
    <m/>
    <m/>
    <x v="1"/>
    <x v="9"/>
    <m/>
    <m/>
    <m/>
    <m/>
    <m/>
    <s v="-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297"/>
    <m/>
    <s v="空き番？"/>
    <m/>
    <m/>
    <m/>
    <m/>
    <m/>
    <m/>
    <m/>
    <x v="1"/>
    <x v="9"/>
    <m/>
    <m/>
    <m/>
    <m/>
    <m/>
    <s v="-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298"/>
    <m/>
    <s v="空き番？"/>
    <m/>
    <m/>
    <m/>
    <m/>
    <m/>
    <m/>
    <m/>
    <x v="1"/>
    <x v="9"/>
    <m/>
    <m/>
    <m/>
    <m/>
    <m/>
    <s v="-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299"/>
    <m/>
    <s v="共有PC/CDEYES-FCI"/>
    <m/>
    <s v="特殊タスク"/>
    <m/>
    <m/>
    <m/>
    <m/>
    <b v="0"/>
    <x v="2"/>
    <x v="11"/>
    <s v="HDD512GB"/>
    <s v="16G"/>
    <s v="7022392"/>
    <m/>
    <s v="JPH226HDZ1"/>
    <s v="第31次"/>
    <d v="2022-07-31T15:00:00"/>
    <m/>
    <x v="18"/>
    <s v="（仮）横河レンタリース"/>
    <m/>
    <m/>
    <m/>
    <s v="D22-405"/>
    <s v="_x0009_01220709237"/>
    <m/>
    <m/>
    <s v="3,690"/>
    <m/>
    <m/>
    <s v="個別対応"/>
    <m/>
    <s v=""/>
    <s v=""/>
    <s v=""/>
    <s v=""/>
    <s v=""/>
    <s v="FCI"/>
    <s v="アイテム"/>
    <s v="sites/itsupport/Lists/PC Flight 4"/>
  </r>
  <r>
    <s v="FMIPC1300"/>
    <m/>
    <m/>
    <m/>
    <m/>
    <s v="齋藤 可奈恵"/>
    <m/>
    <m/>
    <m/>
    <b v="1"/>
    <x v="0"/>
    <x v="7"/>
    <s v="SSD512GB"/>
    <s v="16G"/>
    <s v="7078270"/>
    <s v="Surface Pro 8"/>
    <s v="0F0116G221901J"/>
    <s v="第29次"/>
    <m/>
    <m/>
    <x v="20"/>
    <s v="（仮）横河レンタリース"/>
    <s v="7078318"/>
    <s v="5556499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01"/>
    <m/>
    <m/>
    <m/>
    <m/>
    <s v="石川 夏鈴"/>
    <m/>
    <m/>
    <m/>
    <b v="0"/>
    <x v="0"/>
    <x v="7"/>
    <s v="SSD512GB"/>
    <s v="16G"/>
    <s v="7078271"/>
    <s v="Surface Pro 8"/>
    <s v="0F016UC222101J"/>
    <s v="第29次"/>
    <d v="2022-07-31T15:00:00"/>
    <m/>
    <x v="20"/>
    <s v="（仮）横河レンタリース"/>
    <s v="7078327"/>
    <s v="4912793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02"/>
    <m/>
    <m/>
    <m/>
    <m/>
    <s v="西澤 純男"/>
    <m/>
    <m/>
    <m/>
    <b v="0"/>
    <x v="0"/>
    <x v="7"/>
    <s v="SSD512GB"/>
    <s v="16G"/>
    <s v="7078272"/>
    <s v="Surface Pro 8"/>
    <s v="0F016RL222101J"/>
    <s v="第29次"/>
    <d v="2022-07-31T15:00:00"/>
    <m/>
    <x v="20"/>
    <s v="（仮）横河レンタリース"/>
    <s v="7078312"/>
    <s v="5220747"/>
    <m/>
    <s v="D22-296"/>
    <s v="1220509041"/>
    <m/>
    <m/>
    <s v="6,750"/>
    <m/>
    <m/>
    <s v="リプレース"/>
    <m/>
    <s v=""/>
    <s v=""/>
    <s v=""/>
    <s v=""/>
    <s v=""/>
    <s v="FMI;#FCI出向"/>
    <s v="アイテム"/>
    <s v="sites/itsupport/Lists/PC Flight 4"/>
  </r>
  <r>
    <s v="FMIPC1303"/>
    <m/>
    <m/>
    <m/>
    <m/>
    <s v="長森 洋志"/>
    <m/>
    <m/>
    <m/>
    <b v="0"/>
    <x v="0"/>
    <x v="7"/>
    <s v="SSD512GB"/>
    <s v="16G"/>
    <s v="7078273"/>
    <s v="Surface Pro 8"/>
    <s v="0F00V3Q222001J"/>
    <s v="第29次"/>
    <d v="2022-07-31T15:00:00"/>
    <m/>
    <x v="20"/>
    <s v="（仮）横河レンタリース"/>
    <s v="7078320"/>
    <s v="5036669"/>
    <m/>
    <s v="D22-296"/>
    <s v="1220509041"/>
    <m/>
    <m/>
    <s v="6,750"/>
    <m/>
    <m/>
    <s v="対応不要"/>
    <m/>
    <s v=""/>
    <s v=""/>
    <s v=""/>
    <s v=""/>
    <s v=""/>
    <m/>
    <s v="アイテム"/>
    <s v="sites/itsupport/Lists/PC Flight 4"/>
  </r>
  <r>
    <s v="FMIPC1304"/>
    <m/>
    <m/>
    <m/>
    <m/>
    <s v="金 昇赫&lt;小幡 駿"/>
    <m/>
    <m/>
    <m/>
    <b v="0"/>
    <x v="0"/>
    <x v="7"/>
    <s v="SSD512GB"/>
    <s v="16G"/>
    <s v="7078274"/>
    <s v="Surface Pro 8"/>
    <s v="0F01QXN222301J"/>
    <s v="第29次"/>
    <d v="2022-07-31T15:00:00"/>
    <s v="英字キーボードを別に購入して使用中日本語のキーボードは倉庫にて保管"/>
    <x v="20"/>
    <s v="（仮）横河レンタリース"/>
    <s v="7078338"/>
    <s v="4443125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05"/>
    <m/>
    <m/>
    <m/>
    <m/>
    <s v="小森＜光澤 利幸"/>
    <m/>
    <m/>
    <m/>
    <b v="0"/>
    <x v="0"/>
    <x v="7"/>
    <s v="SSD512GB"/>
    <s v="16G"/>
    <s v="7078275"/>
    <s v="Surface Pro 8"/>
    <s v="0F016EB222101J"/>
    <s v="第29次"/>
    <d v="2022-07-31T15:00:00"/>
    <m/>
    <x v="20"/>
    <s v="（仮）横河レンタリース"/>
    <s v="7078319"/>
    <s v="5036695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06"/>
    <m/>
    <m/>
    <m/>
    <m/>
    <s v="木場 亮太"/>
    <m/>
    <m/>
    <m/>
    <b v="0"/>
    <x v="0"/>
    <x v="7"/>
    <s v="SSD512GB"/>
    <s v="16G"/>
    <s v="6891354"/>
    <s v="Surface Pro 8"/>
    <s v="0F01CAU220201J"/>
    <s v="第29次"/>
    <d v="2022-07-31T15:00:00"/>
    <m/>
    <x v="20"/>
    <s v="（仮）横河レンタリース"/>
    <s v="7078309"/>
    <s v="6204423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07"/>
    <m/>
    <m/>
    <m/>
    <m/>
    <s v="嶋田 裕介"/>
    <m/>
    <m/>
    <m/>
    <b v="0"/>
    <x v="0"/>
    <x v="7"/>
    <s v="SSD512GB"/>
    <s v="16G"/>
    <s v="7078277"/>
    <s v="Surface Pro 8"/>
    <s v="0F00V4B222001J"/>
    <s v="第29次"/>
    <d v="2022-07-31T15:00:00"/>
    <m/>
    <x v="18"/>
    <s v="（仮）横河レンタリース"/>
    <s v="7114960"/>
    <s v="5036673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08"/>
    <m/>
    <m/>
    <m/>
    <m/>
    <s v="中村 達＜箕岡 英樹"/>
    <m/>
    <m/>
    <m/>
    <b v="0"/>
    <x v="0"/>
    <x v="7"/>
    <s v="SSD512GB"/>
    <s v="16G"/>
    <s v="7078278"/>
    <s v="Surface Pro 8"/>
    <s v="0F00V8J222001J"/>
    <s v="第29次"/>
    <d v="2022-07-31T15:00:00"/>
    <m/>
    <x v="20"/>
    <s v="（仮）横河レンタリース"/>
    <s v="7078339"/>
    <s v="5220749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09"/>
    <m/>
    <m/>
    <m/>
    <m/>
    <s v="菅原 良太郎"/>
    <m/>
    <m/>
    <m/>
    <b v="0"/>
    <x v="0"/>
    <x v="7"/>
    <s v="SSD512GB"/>
    <s v="16G"/>
    <s v="7078279"/>
    <s v="Surface Pro 8"/>
    <s v="0F015Y1222101J"/>
    <s v="第29次"/>
    <d v="2022-07-31T15:00:00"/>
    <m/>
    <x v="20"/>
    <s v="（仮）横河レンタリース"/>
    <s v="7078306"/>
    <s v="5329888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0"/>
    <m/>
    <m/>
    <m/>
    <m/>
    <s v="橋 文葉"/>
    <m/>
    <m/>
    <m/>
    <b v="0"/>
    <x v="0"/>
    <x v="7"/>
    <s v="SSD512GB"/>
    <s v="16G"/>
    <s v="7078280"/>
    <s v="Surface Pro 8"/>
    <s v="0F00V46222001J"/>
    <s v="第29次"/>
    <d v="2022-07-31T15:00:00"/>
    <s v="キーボード②7078337の代替＜キーボード①7078313の代替"/>
    <x v="20"/>
    <s v="（仮）横河レンタリース"/>
    <s v="7500306"/>
    <s v="5319610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1"/>
    <m/>
    <m/>
    <m/>
    <m/>
    <s v="西田 明徳"/>
    <m/>
    <m/>
    <m/>
    <b v="0"/>
    <x v="0"/>
    <x v="7"/>
    <s v="SSD512GB"/>
    <s v="16G"/>
    <s v="7078281"/>
    <s v="Surface Pro 8"/>
    <s v="0F00V54222001J"/>
    <s v="第29次"/>
    <d v="2022-07-31T15:00:00"/>
    <m/>
    <x v="20"/>
    <s v="（仮）横河レンタリース"/>
    <s v="7254016"/>
    <s v="5036656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2"/>
    <m/>
    <m/>
    <m/>
    <m/>
    <s v="木場 亮太&lt;中村 哲"/>
    <m/>
    <m/>
    <m/>
    <b v="0"/>
    <x v="0"/>
    <x v="7"/>
    <s v="SSD512GB"/>
    <s v="16G"/>
    <s v="7078282"/>
    <s v="Surface Pro 8"/>
    <s v="0F0117A221901J"/>
    <s v="第29次"/>
    <d v="2022-07-31T15:00:00"/>
    <s v="7078335:故障中（前のKBD）"/>
    <x v="20"/>
    <s v="（仮）横河レンタリース"/>
    <s v="7078325"/>
    <s v="5517479"/>
    <m/>
    <s v="D22-296"/>
    <s v="1220509041"/>
    <m/>
    <m/>
    <s v="6,750"/>
    <m/>
    <m/>
    <s v="リプレース"/>
    <m/>
    <s v=""/>
    <s v=""/>
    <s v=""/>
    <s v=""/>
    <s v=""/>
    <s v="FMI;#FCI出向"/>
    <s v="アイテム"/>
    <s v="sites/itsupport/Lists/PC Flight 4"/>
  </r>
  <r>
    <s v="FMIPC1313"/>
    <m/>
    <m/>
    <m/>
    <m/>
    <s v="白石 良彰"/>
    <m/>
    <m/>
    <m/>
    <b v="0"/>
    <x v="0"/>
    <x v="7"/>
    <s v="SSD512GB"/>
    <s v="16G"/>
    <s v="7078283"/>
    <s v="Surface Pro 8"/>
    <s v="0F020FM222501J"/>
    <s v="第29次"/>
    <d v="2022-07-31T15:00:00"/>
    <m/>
    <x v="20"/>
    <s v="（仮）横河レンタリース"/>
    <s v="7078310"/>
    <s v="5517448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4"/>
    <m/>
    <m/>
    <s v="FMI-HR@frontier-mgmt.com"/>
    <m/>
    <s v="人事面接用"/>
    <m/>
    <m/>
    <m/>
    <b v="0"/>
    <x v="0"/>
    <x v="7"/>
    <s v="SSD512GB"/>
    <s v="16G"/>
    <s v="7078284"/>
    <s v="Surface Pro 8"/>
    <s v="0F00UZD222001J"/>
    <s v="第29次"/>
    <d v="2022-07-31T15:00:00"/>
    <m/>
    <x v="20"/>
    <s v="（仮）横河レンタリース"/>
    <s v="7078307"/>
    <s v="5587886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5"/>
    <m/>
    <m/>
    <m/>
    <m/>
    <s v="大曲 達夫"/>
    <m/>
    <m/>
    <m/>
    <b v="0"/>
    <x v="0"/>
    <x v="7"/>
    <s v="SSD512GB"/>
    <s v="16G"/>
    <s v="7078285"/>
    <s v="Surface Pro 8"/>
    <s v="0F015SJ222101J"/>
    <s v="第29次"/>
    <d v="2022-07-31T15:00:00"/>
    <m/>
    <x v="20"/>
    <s v="（仮）横河レンタリース"/>
    <s v="7088311"/>
    <s v="5517461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6"/>
    <m/>
    <m/>
    <m/>
    <m/>
    <s v="伴 浩太"/>
    <m/>
    <m/>
    <m/>
    <b v="0"/>
    <x v="0"/>
    <x v="7"/>
    <s v="SSD512GB"/>
    <s v="16G"/>
    <s v="7078286"/>
    <s v="Surface Pro 8"/>
    <s v="0F00V7F222001J"/>
    <s v="第29次"/>
    <d v="2022-07-31T15:00:00"/>
    <s v="キーボード：FMIPC1313と交換"/>
    <x v="20"/>
    <s v="（仮）横河レンタリース"/>
    <s v="7078336"/>
    <s v="6045007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17"/>
    <m/>
    <m/>
    <m/>
    <m/>
    <s v="廣田 英治"/>
    <m/>
    <m/>
    <m/>
    <b v="0"/>
    <x v="0"/>
    <x v="7"/>
    <s v="SSD512GB"/>
    <s v="16G"/>
    <s v="7078287"/>
    <s v="Surface Pro 8"/>
    <s v="0F020FV222501J"/>
    <s v="第29次"/>
    <d v="2022-07-31T15:00:00"/>
    <m/>
    <x v="20"/>
    <s v="（仮）横河レンタリース"/>
    <s v="7078333"/>
    <s v="5577657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18"/>
    <m/>
    <m/>
    <m/>
    <m/>
    <m/>
    <m/>
    <m/>
    <m/>
    <b v="0"/>
    <x v="0"/>
    <x v="7"/>
    <s v="SSD512GB"/>
    <s v="16G"/>
    <s v="7078288"/>
    <s v="Surface Pro 8"/>
    <m/>
    <s v="第29次"/>
    <d v="2022-07-31T15:00:00"/>
    <m/>
    <x v="20"/>
    <s v="（仮）横河レンタリース"/>
    <m/>
    <s v="4977602"/>
    <m/>
    <s v="D22-296"/>
    <s v="1220509041"/>
    <m/>
    <m/>
    <s v="6,750"/>
    <m/>
    <m/>
    <s v="対応不要"/>
    <m/>
    <s v=""/>
    <s v=""/>
    <s v=""/>
    <s v=""/>
    <s v=""/>
    <m/>
    <s v="アイテム"/>
    <s v="sites/itsupport/Lists/PC Flight 4"/>
  </r>
  <r>
    <s v="FMIPC1319"/>
    <m/>
    <m/>
    <m/>
    <m/>
    <s v="小田部 馨"/>
    <m/>
    <m/>
    <m/>
    <b v="0"/>
    <x v="0"/>
    <x v="7"/>
    <s v="SSD512GB"/>
    <s v="16G"/>
    <s v="7078289"/>
    <s v="Surface Pro 8"/>
    <s v="0F015SY222101J"/>
    <s v="第29次"/>
    <d v="2022-07-31T15:00:00"/>
    <m/>
    <x v="20"/>
    <s v="（仮）横河レンタリース"/>
    <s v="7078341"/>
    <s v="5556517"/>
    <m/>
    <s v="D22-296"/>
    <s v="1220509041"/>
    <m/>
    <m/>
    <s v="6,750"/>
    <m/>
    <m/>
    <s v="対応不要"/>
    <m/>
    <s v=""/>
    <s v=""/>
    <s v=""/>
    <s v=""/>
    <s v=""/>
    <m/>
    <s v="アイテム"/>
    <s v="sites/itsupport/Lists/PC Flight 4"/>
  </r>
  <r>
    <s v="FMIPC1320"/>
    <m/>
    <m/>
    <m/>
    <m/>
    <s v="中村 達"/>
    <m/>
    <m/>
    <m/>
    <b v="0"/>
    <x v="0"/>
    <x v="7"/>
    <s v="SSD512GB"/>
    <s v="16G"/>
    <s v="7078290"/>
    <s v="Surface Pro 8"/>
    <s v="0F00JWP222201J"/>
    <s v="第29次"/>
    <d v="2022-07-31T15:00:00"/>
    <m/>
    <x v="20"/>
    <s v="（仮）横河レンタリース"/>
    <m/>
    <s v="5517457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21"/>
    <m/>
    <m/>
    <m/>
    <m/>
    <s v="山田 涼平"/>
    <m/>
    <m/>
    <m/>
    <b v="0"/>
    <x v="0"/>
    <x v="7"/>
    <s v="SSD512GB"/>
    <s v="16G"/>
    <s v="7078291"/>
    <s v="Surface Pro 8"/>
    <s v="0F015G2221301J"/>
    <s v="第29次"/>
    <d v="2022-07-31T15:00:00"/>
    <s v="キーボード：FMIPC1337と交換かつ、6770511の代替品"/>
    <x v="20"/>
    <s v="（仮）横河レンタリース"/>
    <s v="6796624"/>
    <s v="6204424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22"/>
    <m/>
    <m/>
    <m/>
    <m/>
    <s v="本橋 陽介"/>
    <m/>
    <m/>
    <m/>
    <b v="0"/>
    <x v="0"/>
    <x v="7"/>
    <s v="SSD512GB"/>
    <s v="16G"/>
    <s v="7078292"/>
    <s v="Surface Pro 8"/>
    <s v="0F020FL222501J"/>
    <s v="第29次"/>
    <d v="2022-07-31T15:00:00"/>
    <m/>
    <x v="20"/>
    <s v="（仮）横河レンタリース"/>
    <s v="7078317"/>
    <s v="5120856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23"/>
    <m/>
    <m/>
    <m/>
    <m/>
    <s v="中村 達"/>
    <m/>
    <m/>
    <m/>
    <b v="0"/>
    <x v="0"/>
    <x v="7"/>
    <s v="SSD512GB"/>
    <s v="16G"/>
    <s v="7078293"/>
    <s v="Surface Pro 8"/>
    <s v="0F01QXV222301J"/>
    <s v="第29次"/>
    <d v="2022-07-31T15:00:00"/>
    <m/>
    <x v="20"/>
    <s v="（仮）横河レンタリース"/>
    <s v="7078308"/>
    <s v="5083417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24"/>
    <m/>
    <s v="小森 忠明"/>
    <s v="t.komori@frontier-mgmt.com"/>
    <s v="社員"/>
    <m/>
    <m/>
    <m/>
    <m/>
    <b v="1"/>
    <x v="2"/>
    <x v="7"/>
    <s v="SSD512GB"/>
    <s v="16G"/>
    <s v="7078294"/>
    <s v="Surface Pro 8"/>
    <s v="0F01WWE222001J"/>
    <s v="第29次"/>
    <d v="2022-07-31T15:00:00"/>
    <m/>
    <x v="20"/>
    <s v="（仮）横河レンタリース"/>
    <s v="7078326"/>
    <s v="5250746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25"/>
    <m/>
    <m/>
    <m/>
    <m/>
    <s v="検証用（陳）"/>
    <m/>
    <m/>
    <m/>
    <b v="0"/>
    <x v="0"/>
    <x v="7"/>
    <s v="SSD512GB"/>
    <s v="16G"/>
    <s v="7078295"/>
    <s v="Surface Pro 8"/>
    <m/>
    <s v="第29次"/>
    <d v="2022-07-31T15:00:00"/>
    <m/>
    <x v="20"/>
    <s v="（仮）横河レンタリース"/>
    <s v="7254015"/>
    <m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26"/>
    <m/>
    <m/>
    <m/>
    <m/>
    <s v="山手 剛人"/>
    <m/>
    <m/>
    <m/>
    <b v="0"/>
    <x v="0"/>
    <x v="7"/>
    <s v="SSD512GB"/>
    <s v="16G"/>
    <s v="7078296"/>
    <s v="Surface Pro 8"/>
    <m/>
    <s v="第29次"/>
    <d v="2022-07-31T15:00:00"/>
    <m/>
    <x v="20"/>
    <s v="（仮）横河レンタリース"/>
    <s v="7078331"/>
    <s v="4417152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27"/>
    <m/>
    <m/>
    <m/>
    <m/>
    <s v="王 芃"/>
    <m/>
    <m/>
    <m/>
    <b v="0"/>
    <x v="0"/>
    <x v="7"/>
    <s v="SSD512GB"/>
    <s v="16G"/>
    <s v="7078297"/>
    <s v="Surface Pro 8"/>
    <s v="0F01QSK222301J"/>
    <s v="第29次"/>
    <d v="2022-07-31T15:00:00"/>
    <m/>
    <x v="20"/>
    <s v="（仮）横河レンタリース"/>
    <s v="7078340"/>
    <s v="5036655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28"/>
    <m/>
    <m/>
    <m/>
    <m/>
    <s v="中村 哲"/>
    <m/>
    <m/>
    <m/>
    <b v="0"/>
    <x v="0"/>
    <x v="7"/>
    <s v="SSD512GB"/>
    <s v="16G"/>
    <s v="7078298"/>
    <s v="Surface Pro 8"/>
    <s v="0F016WJ222101J"/>
    <s v="第29次"/>
    <d v="2022-07-31T15:00:00"/>
    <m/>
    <x v="20"/>
    <s v="（仮）横河レンタリース"/>
    <s v="7078332"/>
    <s v="5117616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29"/>
    <m/>
    <m/>
    <m/>
    <m/>
    <s v="原田 隼佑"/>
    <m/>
    <m/>
    <m/>
    <b v="0"/>
    <x v="0"/>
    <x v="7"/>
    <s v="SSD512GB"/>
    <s v="16G"/>
    <s v="7078299"/>
    <s v="Surface Pro 8"/>
    <s v="0F020AM222501J"/>
    <s v="第29次"/>
    <d v="2022-07-31T15:00:00"/>
    <m/>
    <x v="20"/>
    <s v="（仮）横河レンタリース"/>
    <s v="7472788"/>
    <s v="5036640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3"/>
    <m/>
    <s v="Exchangeテスト用"/>
    <s v="y.kawashima@frontier-mgmt.com"/>
    <m/>
    <s v="1.testuser1(GMO貸し出し用)　2.勝野　めぐみ　3.田中 完治②"/>
    <m/>
    <m/>
    <m/>
    <m/>
    <x v="1"/>
    <x v="12"/>
    <s v="HDD"/>
    <m/>
    <s v="K-4049"/>
    <s v="3249MJJ"/>
    <s v="R9-6E83B"/>
    <s v="第12次"/>
    <d v="2010-08-31T15:00:00"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330"/>
    <m/>
    <m/>
    <m/>
    <m/>
    <s v="河島 義尚&lt;山手 剛人"/>
    <m/>
    <m/>
    <m/>
    <b v="0"/>
    <x v="0"/>
    <x v="7"/>
    <s v="SSD512GB"/>
    <s v="16G"/>
    <s v="6891355"/>
    <s v="Surface Pro 8"/>
    <s v="0F01C8Y220201J"/>
    <s v="第29次"/>
    <d v="2022-07-31T15:00:00"/>
    <m/>
    <x v="20"/>
    <s v="（仮）横河レンタリース"/>
    <s v="7078316"/>
    <s v="5500806"/>
    <m/>
    <s v="D22-296"/>
    <s v="1220509041"/>
    <m/>
    <m/>
    <s v="6,750"/>
    <m/>
    <m/>
    <s v="リプレース"/>
    <m/>
    <s v=""/>
    <s v=""/>
    <s v=""/>
    <s v=""/>
    <s v=""/>
    <m/>
    <s v="アイテム"/>
    <s v="sites/itsupport/Lists/PC Flight 4"/>
  </r>
  <r>
    <s v="FMIPC1331"/>
    <m/>
    <m/>
    <m/>
    <m/>
    <s v="甕 知行"/>
    <m/>
    <m/>
    <m/>
    <b v="0"/>
    <x v="0"/>
    <x v="7"/>
    <s v="SSD512GB"/>
    <s v="16G"/>
    <s v="7078301"/>
    <s v="Surface Pro 8"/>
    <s v="0F006ZK222101J"/>
    <s v="第29次"/>
    <d v="2022-07-31T15:00:00"/>
    <m/>
    <x v="20"/>
    <s v="（仮）横河レンタリース"/>
    <s v="7078321"/>
    <s v="6045018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32"/>
    <m/>
    <m/>
    <m/>
    <m/>
    <s v="永沢 和久"/>
    <m/>
    <m/>
    <m/>
    <b v="0"/>
    <x v="0"/>
    <x v="7"/>
    <s v="SSD512GB"/>
    <s v="16G"/>
    <s v="7078302"/>
    <s v="Surface Pro 8"/>
    <s v="0F0207W222501J"/>
    <s v="第29次"/>
    <d v="2022-07-31T15:00:00"/>
    <m/>
    <x v="20"/>
    <s v="（仮）横河レンタリース"/>
    <s v="7500298"/>
    <s v="5083425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33"/>
    <m/>
    <m/>
    <m/>
    <m/>
    <s v="近藤 俊明"/>
    <m/>
    <m/>
    <m/>
    <b v="0"/>
    <x v="0"/>
    <x v="7"/>
    <s v="SSD512GB"/>
    <s v="16G"/>
    <s v="7078303"/>
    <s v="Surface Pro 8"/>
    <s v="0F0116L221901J"/>
    <s v="第29次"/>
    <d v="2022-07-31T15:00:00"/>
    <m/>
    <x v="20"/>
    <s v="（仮）横河レンタリース"/>
    <s v="7078334"/>
    <s v="5601315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34"/>
    <m/>
    <m/>
    <m/>
    <m/>
    <s v="三浦 充美"/>
    <m/>
    <m/>
    <m/>
    <b v="0"/>
    <x v="0"/>
    <x v="7"/>
    <s v="SSD512GB"/>
    <s v="16G"/>
    <s v="7078304"/>
    <s v="Surface Pro 8"/>
    <s v="0F01QRW222301J"/>
    <s v="第29次"/>
    <d v="2022-07-31T15:00:00"/>
    <m/>
    <x v="20"/>
    <s v="（仮）横河レンタリース"/>
    <s v="7078315"/>
    <s v="5036685"/>
    <m/>
    <s v="D22-296"/>
    <s v="1220509041"/>
    <m/>
    <m/>
    <s v="6,750"/>
    <m/>
    <m/>
    <s v="対応不要"/>
    <m/>
    <s v=""/>
    <s v=""/>
    <s v=""/>
    <s v=""/>
    <s v=""/>
    <m/>
    <s v="アイテム"/>
    <s v="sites/itsupport/Lists/PC Flight 4"/>
  </r>
  <r>
    <s v="FMIPC1335"/>
    <m/>
    <m/>
    <m/>
    <m/>
    <s v="増子 晃平"/>
    <m/>
    <m/>
    <m/>
    <b v="0"/>
    <x v="0"/>
    <x v="7"/>
    <s v="SSD512GB"/>
    <s v="16G"/>
    <s v="7078305"/>
    <s v="Surface Pro 8"/>
    <s v="0F013CJ222101J"/>
    <s v="第29次"/>
    <d v="2022-07-31T15:00:00"/>
    <m/>
    <x v="20"/>
    <s v="（仮）横河レンタリース"/>
    <m/>
    <s v="6044984"/>
    <m/>
    <s v="D22-296"/>
    <s v="1220509041"/>
    <m/>
    <m/>
    <s v="6,750"/>
    <m/>
    <m/>
    <m/>
    <m/>
    <s v=""/>
    <s v=""/>
    <s v=""/>
    <s v=""/>
    <s v=""/>
    <m/>
    <s v="アイテム"/>
    <s v="sites/itsupport/Lists/PC Flight 4"/>
  </r>
  <r>
    <s v="FMIPC1336"/>
    <m/>
    <s v="空き番？"/>
    <m/>
    <m/>
    <m/>
    <m/>
    <m/>
    <m/>
    <m/>
    <x v="1"/>
    <x v="9"/>
    <m/>
    <m/>
    <m/>
    <m/>
    <m/>
    <s v="-"/>
    <m/>
    <m/>
    <x v="0"/>
    <m/>
    <m/>
    <m/>
    <m/>
    <m/>
    <m/>
    <m/>
    <m/>
    <m/>
    <m/>
    <m/>
    <m/>
    <m/>
    <s v=""/>
    <s v=""/>
    <s v=""/>
    <s v=""/>
    <s v=""/>
    <m/>
    <s v="アイテム"/>
    <s v="sites/itsupport/Lists/PC Flight 4"/>
  </r>
  <r>
    <s v="FMIPC1337"/>
    <m/>
    <m/>
    <m/>
    <m/>
    <s v="大西 正一郎"/>
    <m/>
    <m/>
    <m/>
    <b v="0"/>
    <x v="0"/>
    <x v="7"/>
    <s v="SSD512GB"/>
    <s v="16GB"/>
    <s v="6891368"/>
    <s v="Surface Pro 8"/>
    <s v="0F01C8Z220201J"/>
    <s v="第30次"/>
    <d v="2022-08-03T15:00:00"/>
    <s v="キーボード:7078314(FMIPC1321と交換), Doc:55-17457"/>
    <x v="18"/>
    <s v="（仮）横河レンタリース"/>
    <s v="7078314"/>
    <s v="6044997"/>
    <m/>
    <s v="D22-398"/>
    <s v="1220707909"/>
    <m/>
    <m/>
    <s v="6,750"/>
    <m/>
    <m/>
    <s v="リプレース"/>
    <m/>
    <s v=""/>
    <s v=""/>
    <s v=""/>
    <s v=""/>
    <s v=""/>
    <m/>
    <s v="アイテム"/>
    <s v="sites/itsupport/Lists/PC Flight 4"/>
  </r>
  <r>
    <s v="FMIPC1338"/>
    <m/>
    <m/>
    <m/>
    <m/>
    <s v="林 載憲&lt;田村 草太&lt;山口 大樹"/>
    <m/>
    <m/>
    <m/>
    <b v="0"/>
    <x v="0"/>
    <x v="5"/>
    <s v="SSD512GB"/>
    <s v="16GB"/>
    <s v="7144077"/>
    <s v="20VJS17X00"/>
    <s v="PW01LJ73"/>
    <s v="第32次"/>
    <d v="2022-09-13T15:00:00"/>
    <s v="6985530の代替品→6710548の代替品"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39"/>
    <m/>
    <m/>
    <m/>
    <m/>
    <s v="岡田 恭平＜惠川 日向"/>
    <m/>
    <m/>
    <m/>
    <b v="0"/>
    <x v="0"/>
    <x v="5"/>
    <s v="SSD512GB"/>
    <s v="16GB"/>
    <s v="6780564"/>
    <s v="20VJS17X00"/>
    <s v="PW005AGW"/>
    <s v="第32次"/>
    <d v="2022-09-13T15:00:00"/>
    <s v="6658941の代替機"/>
    <x v="21"/>
    <s v="（仮）横河レンタリース"/>
    <m/>
    <m/>
    <m/>
    <s v="D22-492"/>
    <s v="1220807946"/>
    <m/>
    <m/>
    <s v="4,200"/>
    <m/>
    <m/>
    <s v="リプレース"/>
    <m/>
    <s v=""/>
    <s v=""/>
    <s v=""/>
    <s v=""/>
    <s v=""/>
    <m/>
    <s v="アイテム"/>
    <s v="sites/itsupport/Lists/PC Flight 4"/>
  </r>
  <r>
    <s v="FMIPC1340"/>
    <m/>
    <m/>
    <m/>
    <m/>
    <s v="川島 一誠＞安岡"/>
    <m/>
    <m/>
    <m/>
    <b v="0"/>
    <x v="0"/>
    <x v="5"/>
    <s v="SSD512GB"/>
    <s v="16GB"/>
    <s v="6658942"/>
    <s v="20VJS17X00"/>
    <s v="R913Z712"/>
    <s v="第32次"/>
    <d v="2022-09-13T15:00:00"/>
    <m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41"/>
    <m/>
    <m/>
    <m/>
    <m/>
    <s v="和地 永悟"/>
    <m/>
    <m/>
    <m/>
    <b v="0"/>
    <x v="0"/>
    <x v="5"/>
    <s v="SSD512GB"/>
    <s v="16GB"/>
    <s v="6710573"/>
    <s v="20VJS17X00"/>
    <s v="PW005AXF"/>
    <s v="第32次"/>
    <d v="2022-09-13T15:00:00"/>
    <m/>
    <x v="21"/>
    <s v="（仮）横河レンタリース"/>
    <m/>
    <m/>
    <m/>
    <s v="D22-492"/>
    <s v="1220807946"/>
    <m/>
    <m/>
    <s v="4,200"/>
    <m/>
    <m/>
    <s v="リプレース"/>
    <m/>
    <s v=""/>
    <s v=""/>
    <s v=""/>
    <s v=""/>
    <s v=""/>
    <m/>
    <s v="アイテム"/>
    <s v="sites/itsupport/Lists/PC Flight 4"/>
  </r>
  <r>
    <s v="FMIPC1342"/>
    <m/>
    <s v="田中 浩一郎"/>
    <s v="ko.tanaka@frontier-mgmt.com"/>
    <s v="社員"/>
    <s v="木股 悟志＜福田 佑也＜山本 稔"/>
    <m/>
    <m/>
    <m/>
    <b v="1"/>
    <x v="2"/>
    <x v="5"/>
    <s v="SSD512GB"/>
    <s v="16GB"/>
    <s v="6938485"/>
    <s v="20VJS17X00"/>
    <s v="PW01ELZP"/>
    <s v="第32次"/>
    <d v="2022-09-13T15:00:00"/>
    <s v="6710821の代替品"/>
    <x v="21"/>
    <s v="（仮）横河レンタリース"/>
    <m/>
    <m/>
    <m/>
    <s v="D22-492"/>
    <s v="1220807946"/>
    <m/>
    <m/>
    <s v="4,200"/>
    <m/>
    <m/>
    <s v="リプレース"/>
    <m/>
    <s v=""/>
    <s v=""/>
    <s v=""/>
    <s v=""/>
    <s v=""/>
    <m/>
    <s v="アイテム"/>
    <s v="sites/itsupport/Lists/PC Flight 4"/>
  </r>
  <r>
    <s v="FMIPC1343"/>
    <m/>
    <m/>
    <m/>
    <m/>
    <s v="澤田 英樹"/>
    <m/>
    <m/>
    <m/>
    <b v="0"/>
    <x v="0"/>
    <x v="5"/>
    <s v="SSD512GB"/>
    <s v="16GB"/>
    <s v="6535689"/>
    <s v="20VJS17X00"/>
    <s v="R912B016"/>
    <s v="第32次"/>
    <d v="2022-09-13T15:00:00"/>
    <s v="6710845の代替品"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44"/>
    <m/>
    <m/>
    <m/>
    <m/>
    <s v="稲田 憲彦"/>
    <m/>
    <m/>
    <m/>
    <b v="0"/>
    <x v="0"/>
    <x v="5"/>
    <s v="SSD512GB"/>
    <s v="16GB"/>
    <s v="6740271"/>
    <s v="20VJS17X00"/>
    <s v="PW005AH8"/>
    <s v="第32次"/>
    <d v="2022-09-13T15:00:00"/>
    <m/>
    <x v="21"/>
    <s v="（仮）横河レンタリース"/>
    <m/>
    <m/>
    <m/>
    <s v="D22-492"/>
    <s v="1220807946"/>
    <m/>
    <m/>
    <s v="4,200"/>
    <m/>
    <m/>
    <s v="リプレース"/>
    <m/>
    <s v=""/>
    <s v=""/>
    <s v=""/>
    <s v=""/>
    <s v=""/>
    <s v="FCI"/>
    <s v="アイテム"/>
    <s v="sites/itsupport/Lists/PC Flight 4"/>
  </r>
  <r>
    <s v="FMIPC1345"/>
    <m/>
    <m/>
    <m/>
    <m/>
    <s v="網谷 宏繁&lt;北村 優之介"/>
    <m/>
    <m/>
    <m/>
    <b v="0"/>
    <x v="0"/>
    <x v="5"/>
    <s v="SSD512GB"/>
    <s v="16GB"/>
    <s v="6658912"/>
    <s v="20VJS17X00"/>
    <s v="R913Z720"/>
    <s v="第32次"/>
    <d v="2022-09-13T15:00:00"/>
    <s v="6752010の代替機"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46"/>
    <m/>
    <m/>
    <m/>
    <m/>
    <s v="深夜勤務アカウント3(CS)＜松井 智宏"/>
    <m/>
    <m/>
    <m/>
    <b v="1"/>
    <x v="0"/>
    <x v="5"/>
    <s v="SSD512GB"/>
    <s v="16GB"/>
    <s v="6963479"/>
    <s v="20VJS17X00"/>
    <s v="PW01E74J"/>
    <s v="第32次"/>
    <d v="2022-09-13T15:00:00"/>
    <s v="68-50797の代替品"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47"/>
    <m/>
    <m/>
    <m/>
    <m/>
    <s v="遠藤 春美"/>
    <m/>
    <m/>
    <m/>
    <b v="0"/>
    <x v="0"/>
    <x v="5"/>
    <s v="SSD512GB"/>
    <s v="16GB"/>
    <s v="6658923"/>
    <s v="20VJS17X00"/>
    <s v="R913Z72L"/>
    <s v="第32次"/>
    <d v="2022-09-13T15:00:00"/>
    <s v="6963494の代替品"/>
    <x v="21"/>
    <s v="（仮）横河レンタリース"/>
    <m/>
    <m/>
    <m/>
    <s v="D22-492"/>
    <s v="1220807946"/>
    <m/>
    <m/>
    <s v="4,200"/>
    <m/>
    <m/>
    <m/>
    <m/>
    <s v=""/>
    <s v=""/>
    <s v=""/>
    <s v=""/>
    <s v=""/>
    <m/>
    <s v="アイテム"/>
    <s v="sites/itsupport/Lists/PC Flight 4"/>
  </r>
  <r>
    <s v="FMIPC1348"/>
    <m/>
    <m/>
    <m/>
    <m/>
    <s v="安武 遼太&lt;大嶋 有喜＜松井 智宏"/>
    <m/>
    <m/>
    <m/>
    <b v="0"/>
    <x v="0"/>
    <x v="5"/>
    <s v="SSD512GB"/>
    <s v="16GB"/>
    <s v="6974053"/>
    <s v="20VJS17X00"/>
    <s v="PW01E73E"/>
    <s v="第32次"/>
    <d v="2022-09-13T15:00:00"/>
    <m/>
    <x v="21"/>
    <s v="（仮）横河レンタリース"/>
    <m/>
    <m/>
    <m/>
    <s v="D22-492"/>
    <s v="1220807946"/>
    <m/>
    <m/>
    <s v="4,200"/>
    <m/>
    <m/>
    <s v="リプレース"/>
    <m/>
    <s v=""/>
    <s v=""/>
    <s v=""/>
    <s v=""/>
    <s v=""/>
    <m/>
    <s v="アイテム"/>
    <s v="sites/itsupport/Lists/PC Flight 4"/>
  </r>
  <r>
    <s v="FMIPC1349"/>
    <m/>
    <m/>
    <m/>
    <m/>
    <s v="西川 夕子&lt;反町 公太&lt;陳 建志"/>
    <m/>
    <m/>
    <m/>
    <b v="0"/>
    <x v="0"/>
    <x v="5"/>
    <s v="SSD512GB"/>
    <s v="16GB"/>
    <s v="6710564"/>
    <s v="20VJS17X00"/>
    <s v="PW005ARM"/>
    <s v="第33次"/>
    <d v="2022-10-12T15:00:00"/>
    <s v="6619008の代替機"/>
    <x v="22"/>
    <s v="（仮）横河レンタリース"/>
    <m/>
    <m/>
    <m/>
    <s v="D22-556"/>
    <s v="1220913423"/>
    <m/>
    <m/>
    <s v="4,200"/>
    <m/>
    <m/>
    <m/>
    <m/>
    <s v=""/>
    <s v=""/>
    <s v=""/>
    <s v=""/>
    <s v=""/>
    <m/>
    <s v="アイテム"/>
    <s v="sites/itsupport/Lists/PC Flight 4"/>
  </r>
  <r>
    <s v="FMIPC1350"/>
    <m/>
    <m/>
    <m/>
    <m/>
    <s v="福島 茂幸&lt;福森 正紘＜松下 祐大"/>
    <m/>
    <m/>
    <m/>
    <b v="0"/>
    <x v="0"/>
    <x v="5"/>
    <s v="SSD512GB"/>
    <s v="16GB"/>
    <s v="6752033"/>
    <s v="20VJS17X00"/>
    <s v="PW005AHL"/>
    <s v="第33次"/>
    <d v="2022-10-12T15:00:00"/>
    <s v="6778528の代替機ー＞6778454の代替機"/>
    <x v="22"/>
    <s v="（仮）横河レンタリース"/>
    <m/>
    <m/>
    <m/>
    <s v="D22-556"/>
    <s v="1220913423"/>
    <m/>
    <m/>
    <s v="4,200"/>
    <m/>
    <m/>
    <s v="リプレース"/>
    <m/>
    <s v=""/>
    <s v=""/>
    <s v=""/>
    <s v=""/>
    <s v=""/>
    <m/>
    <s v="アイテム"/>
    <s v="sites/itsupport/Lists/PC Flight 4"/>
  </r>
  <r>
    <s v="FMIPC1351"/>
    <m/>
    <m/>
    <m/>
    <m/>
    <s v="惠川 日向&lt;三浦 和仁"/>
    <m/>
    <m/>
    <m/>
    <b v="0"/>
    <x v="0"/>
    <x v="5"/>
    <s v="SSD512GB"/>
    <s v="16GB"/>
    <s v="6801563"/>
    <s v="20VJS17X00"/>
    <s v="PW0065GN"/>
    <s v="第33次"/>
    <d v="2022-10-12T15:00:00"/>
    <s v="6780537の代替機"/>
    <x v="22"/>
    <s v="（仮）横河レンタリース"/>
    <m/>
    <m/>
    <m/>
    <s v="D22-556"/>
    <s v="1220913423"/>
    <m/>
    <m/>
    <s v="4,200"/>
    <m/>
    <m/>
    <m/>
    <m/>
    <s v=""/>
    <s v=""/>
    <s v=""/>
    <s v=""/>
    <s v=""/>
    <m/>
    <s v="アイテム"/>
    <s v="sites/itsupport/Lists/PC Flight 4"/>
  </r>
  <r>
    <s v="FMIPC1352"/>
    <m/>
    <m/>
    <m/>
    <m/>
    <s v="郁 智彦"/>
    <m/>
    <m/>
    <m/>
    <b v="0"/>
    <x v="0"/>
    <x v="5"/>
    <s v="SSD512GB"/>
    <s v="16GB"/>
    <s v="6823195"/>
    <s v="20VJS17X00"/>
    <s v="PW0065K2"/>
    <s v="第33次"/>
    <d v="2022-10-12T15:00:00"/>
    <s v="6976893の代替機"/>
    <x v="22"/>
    <s v="（仮）横河レンタリース"/>
    <m/>
    <m/>
    <m/>
    <s v="D22-556"/>
    <s v="1220913423"/>
    <m/>
    <m/>
    <s v="4,200"/>
    <m/>
    <m/>
    <s v="リプレース"/>
    <m/>
    <s v=""/>
    <s v=""/>
    <s v=""/>
    <s v=""/>
    <s v=""/>
    <m/>
    <s v="アイテム"/>
    <s v="sites/itsupport/Lists/PC Flight 4"/>
  </r>
  <r>
    <s v="FMIPC1353"/>
    <m/>
    <m/>
    <m/>
    <m/>
    <s v="米原 弘毅"/>
    <m/>
    <m/>
    <m/>
    <b v="0"/>
    <x v="0"/>
    <x v="5"/>
    <s v="SSD512GB"/>
    <s v="16GB"/>
    <s v="6561453"/>
    <s v="20VJS17X00"/>
    <s v="R912B01Q"/>
    <s v="第33次"/>
    <d v="2022-10-12T15:00:00"/>
    <m/>
    <x v="22"/>
    <s v="（仮）横河レンタリース"/>
    <m/>
    <m/>
    <m/>
    <s v="D22-556"/>
    <s v="1220913423"/>
    <m/>
    <m/>
    <s v="4,200"/>
    <m/>
    <m/>
    <m/>
    <m/>
    <s v=""/>
    <s v=""/>
    <s v=""/>
    <s v=""/>
    <s v=""/>
    <m/>
    <s v="アイテム"/>
    <s v="sites/itsupport/Lists/PC Flight 4"/>
  </r>
  <r>
    <s v="FMIPC1354"/>
    <m/>
    <m/>
    <m/>
    <m/>
    <s v="道古 麻由"/>
    <m/>
    <m/>
    <m/>
    <b v="0"/>
    <x v="0"/>
    <x v="5"/>
    <s v="SSD512GB"/>
    <s v="16GB"/>
    <s v="6850917"/>
    <s v="20VJS17X00"/>
    <s v="PW00QXR1"/>
    <s v="第33次"/>
    <d v="2022-10-12T15:00:00"/>
    <s v="6740732の代替品"/>
    <x v="22"/>
    <s v="（仮）横河レンタリース"/>
    <m/>
    <m/>
    <m/>
    <s v="D22-556"/>
    <s v="1220913423"/>
    <m/>
    <m/>
    <s v="4,200"/>
    <m/>
    <m/>
    <s v="リプレース"/>
    <m/>
    <s v=""/>
    <s v=""/>
    <s v=""/>
    <s v=""/>
    <s v=""/>
    <m/>
    <s v="アイテム"/>
    <s v="sites/itsupport/Lists/PC Flight 4"/>
  </r>
  <r>
    <s v="FMIPC1355"/>
    <m/>
    <m/>
    <m/>
    <m/>
    <s v="勝田 菜々子&lt;高野 陽子&lt;新井 清"/>
    <m/>
    <m/>
    <m/>
    <b v="0"/>
    <x v="0"/>
    <x v="5"/>
    <s v="SSD512GB"/>
    <s v="16GB"/>
    <s v="6913360"/>
    <s v="20VJS17X00"/>
    <s v="PW00QXN9"/>
    <s v="第33次"/>
    <d v="2022-10-12T15:00:00"/>
    <s v="6658892の代替品&lt;6743917の代替品"/>
    <x v="22"/>
    <s v="（仮）横河レンタリース"/>
    <m/>
    <m/>
    <m/>
    <s v="D22-556"/>
    <s v="1220913423"/>
    <m/>
    <m/>
    <s v="4,200"/>
    <m/>
    <m/>
    <s v="対応不要"/>
    <m/>
    <s v=""/>
    <s v=""/>
    <s v=""/>
    <s v=""/>
    <s v=""/>
    <m/>
    <s v="アイテム"/>
    <s v="sites/itsupport/Lists/PC Flight 4"/>
  </r>
  <r>
    <s v="FMIPC1356"/>
    <m/>
    <m/>
    <m/>
    <m/>
    <s v="須原 紳&lt;林 載憲"/>
    <m/>
    <m/>
    <m/>
    <b v="0"/>
    <x v="0"/>
    <x v="5"/>
    <s v="SSD512GB"/>
    <s v="16GB"/>
    <s v="6854409"/>
    <s v="20VJS17X00"/>
    <s v="PW00QXP2"/>
    <s v="第33次"/>
    <d v="2022-10-12T15:00:00"/>
    <m/>
    <x v="22"/>
    <s v="（仮）横河レンタリース"/>
    <m/>
    <m/>
    <m/>
    <s v="D22-556"/>
    <s v="1220913423"/>
    <m/>
    <m/>
    <s v="4,200"/>
    <m/>
    <m/>
    <s v="リプレース"/>
    <m/>
    <s v=""/>
    <s v=""/>
    <s v=""/>
    <s v=""/>
    <s v=""/>
    <m/>
    <s v="アイテム"/>
    <s v="sites/itsupport/Lists/PC Flight 4"/>
  </r>
  <r>
    <s v="FMIPC1357"/>
    <m/>
    <m/>
    <m/>
    <m/>
    <s v="小道 誠也&lt;原 隆介"/>
    <m/>
    <m/>
    <m/>
    <b v="0"/>
    <x v="0"/>
    <x v="5"/>
    <s v="SSD512GB"/>
    <s v="16GB"/>
    <s v="6539214"/>
    <s v="20VJS17X00"/>
    <s v="R912AZSX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58"/>
    <m/>
    <m/>
    <m/>
    <m/>
    <s v="岡野 珠子"/>
    <m/>
    <m/>
    <m/>
    <b v="0"/>
    <x v="0"/>
    <x v="5"/>
    <s v="SSD512GB"/>
    <s v="16GB"/>
    <s v="6539236"/>
    <s v="20VJS17X00"/>
    <s v="R912AZTM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59"/>
    <m/>
    <m/>
    <m/>
    <m/>
    <s v="坂田 泰代"/>
    <m/>
    <m/>
    <m/>
    <b v="0"/>
    <x v="0"/>
    <x v="5"/>
    <s v="SSD512GB"/>
    <s v="16GB"/>
    <s v="6543125"/>
    <s v="20VJS17X00"/>
    <s v="R912B002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0"/>
    <m/>
    <m/>
    <m/>
    <m/>
    <s v="大久保 文人"/>
    <m/>
    <m/>
    <m/>
    <b v="0"/>
    <x v="0"/>
    <x v="5"/>
    <s v="SSD512GB"/>
    <s v="16GB"/>
    <s v="6543132"/>
    <s v="20VJS17X00"/>
    <s v="R912AZZJ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61"/>
    <m/>
    <m/>
    <m/>
    <m/>
    <s v="長谷川 貴史"/>
    <m/>
    <m/>
    <m/>
    <b v="0"/>
    <x v="0"/>
    <x v="5"/>
    <s v="SSD512GB"/>
    <s v="16GB"/>
    <s v="6619000"/>
    <s v="20VJS17X00"/>
    <s v="R913Z7DN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2"/>
    <m/>
    <m/>
    <m/>
    <m/>
    <s v="楢原 亮＜西山　弘峻＜山崎 拓"/>
    <m/>
    <m/>
    <m/>
    <b v="0"/>
    <x v="0"/>
    <x v="5"/>
    <s v="SSD512GB"/>
    <s v="16GB"/>
    <s v="6658895"/>
    <s v="20VJS17X00"/>
    <s v="R913Z777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3"/>
    <m/>
    <m/>
    <m/>
    <m/>
    <s v="門田 義弘&lt;磯野 亨"/>
    <m/>
    <m/>
    <m/>
    <b v="0"/>
    <x v="0"/>
    <x v="5"/>
    <s v="SSD512GB"/>
    <s v="16GB"/>
    <s v="6720176"/>
    <s v="20VJS17X00"/>
    <s v="PW005AHC"/>
    <s v="第35次"/>
    <d v="2022-10-24T15:00:00"/>
    <s v="6710827の代替機&lt;6710550の代替機"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4"/>
    <m/>
    <m/>
    <m/>
    <m/>
    <s v="梅本 武"/>
    <m/>
    <m/>
    <m/>
    <b v="0"/>
    <x v="0"/>
    <x v="5"/>
    <s v="SSD512GB"/>
    <s v="16GB"/>
    <s v="6770929"/>
    <s v="20VJS17X00"/>
    <s v="PW005AH3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5"/>
    <m/>
    <m/>
    <m/>
    <m/>
    <s v="中村 雅一＜田中　浩一郎＜村上 誠&lt;岡本 聡志＜淺海 充正"/>
    <m/>
    <m/>
    <m/>
    <b v="0"/>
    <x v="0"/>
    <x v="5"/>
    <s v="SSD512GB"/>
    <s v="16GB"/>
    <s v="6850873"/>
    <s v="20VJS17X00"/>
    <s v="PW005B1V"/>
    <s v="第35次"/>
    <d v="2022-10-24T15:00:00"/>
    <s v="6938439の代替機＜6770923の代替機&lt;6770932の代替機"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66"/>
    <m/>
    <m/>
    <m/>
    <m/>
    <s v="大阪支店予備PC２&lt;行俊 晋太郎&lt;西田 明徳"/>
    <m/>
    <m/>
    <m/>
    <b v="0"/>
    <x v="0"/>
    <x v="5"/>
    <s v="SSD512GB"/>
    <s v="16GB"/>
    <s v="6770933"/>
    <s v="20VJS17X00"/>
    <s v="PW005AXD"/>
    <s v="第35次"/>
    <d v="2022-10-24T15:00:00"/>
    <m/>
    <x v="23"/>
    <s v="（仮）横河レンタリース"/>
    <m/>
    <m/>
    <m/>
    <s v="D22-580"/>
    <s v="1221002689"/>
    <m/>
    <m/>
    <s v="4,200"/>
    <m/>
    <m/>
    <s v="個別対応"/>
    <m/>
    <s v=""/>
    <s v=""/>
    <s v=""/>
    <s v=""/>
    <s v=""/>
    <m/>
    <s v="アイテム"/>
    <s v="sites/itsupport/Lists/PC Flight 4"/>
  </r>
  <r>
    <s v="FMIPC1367"/>
    <m/>
    <m/>
    <m/>
    <m/>
    <s v="吉川 大輝 &lt; 河島 義尚"/>
    <m/>
    <m/>
    <m/>
    <b v="0"/>
    <x v="0"/>
    <x v="5"/>
    <s v="SSD512GB"/>
    <s v="16GB"/>
    <s v="6928403"/>
    <s v="20VJS17X00"/>
    <s v="PW01ELXD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68"/>
    <m/>
    <m/>
    <m/>
    <m/>
    <s v="三明 翔"/>
    <m/>
    <m/>
    <m/>
    <b v="0"/>
    <x v="0"/>
    <x v="5"/>
    <s v="SSD512GB"/>
    <s v="16GB"/>
    <s v="6928405"/>
    <s v="20VJS17X00"/>
    <s v="PW01ELS2"/>
    <s v="第35次"/>
    <d v="2022-10-24T15:00:00"/>
    <m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69"/>
    <m/>
    <m/>
    <m/>
    <m/>
    <s v="前田 竜&lt;笹沼 大樹"/>
    <m/>
    <m/>
    <m/>
    <b v="0"/>
    <x v="0"/>
    <x v="5"/>
    <s v="SSD512GB"/>
    <s v="16GB"/>
    <s v="6928406"/>
    <s v="20VJS17X00"/>
    <s v="PW01ELRW"/>
    <s v="第35次"/>
    <d v="2022-10-24T15:00:00"/>
    <m/>
    <x v="23"/>
    <s v="（仮）横河レンタリース"/>
    <m/>
    <m/>
    <m/>
    <s v="D22-580"/>
    <s v="1221002689"/>
    <m/>
    <m/>
    <s v="4,200"/>
    <m/>
    <m/>
    <s v="対応不要"/>
    <m/>
    <s v=""/>
    <s v=""/>
    <s v=""/>
    <s v=""/>
    <s v=""/>
    <m/>
    <s v="アイテム"/>
    <s v="sites/itsupport/Lists/PC Flight 4"/>
  </r>
  <r>
    <s v="FMIPC1370"/>
    <m/>
    <m/>
    <m/>
    <m/>
    <s v="松下 祐大 &lt; 毛利 剛実"/>
    <m/>
    <m/>
    <m/>
    <b v="0"/>
    <x v="0"/>
    <x v="5"/>
    <s v="SSD512GB"/>
    <s v="16GB"/>
    <s v="6928407"/>
    <s v="20VJS17X00"/>
    <s v="PW01EMZ2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71"/>
    <m/>
    <m/>
    <m/>
    <m/>
    <s v="検証中（安藤）&lt;鈴木 洋子"/>
    <m/>
    <m/>
    <m/>
    <b v="0"/>
    <x v="0"/>
    <x v="5"/>
    <s v="SSD512GB"/>
    <s v="16GB"/>
    <s v="6928408"/>
    <s v="20VJS17X00"/>
    <s v="PW01ELS8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72"/>
    <m/>
    <m/>
    <m/>
    <m/>
    <s v="遠藤 豪一&lt;滝村 孝介＜佐藤 彩花"/>
    <m/>
    <m/>
    <m/>
    <b v="0"/>
    <x v="0"/>
    <x v="5"/>
    <s v="SSD512GB"/>
    <s v="16GB"/>
    <s v="6928409"/>
    <s v="20VJS17X00"/>
    <s v="PW01EMZY"/>
    <s v="第35次"/>
    <d v="2022-10-24T15:00:00"/>
    <m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73"/>
    <m/>
    <m/>
    <m/>
    <m/>
    <s v="藤井 美沙"/>
    <m/>
    <m/>
    <m/>
    <b v="0"/>
    <x v="0"/>
    <x v="5"/>
    <s v="SSD512GB"/>
    <s v="16GB"/>
    <s v="6854416"/>
    <s v="20VJS17X00"/>
    <s v="PW00S902"/>
    <s v="第35次"/>
    <d v="2022-10-24T15:00:00"/>
    <s v="6963493の代替機"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74"/>
    <m/>
    <m/>
    <m/>
    <m/>
    <s v="西込 忠昭&lt;小道 誠也＜岡本 聡志"/>
    <m/>
    <m/>
    <m/>
    <b v="0"/>
    <x v="0"/>
    <x v="5"/>
    <s v="SSD512GB"/>
    <s v="16GB"/>
    <s v="6823271"/>
    <s v="20VJS17X00"/>
    <s v="PW0065HF"/>
    <s v="第35次"/>
    <d v="2022-10-24T15:00:00"/>
    <s v="6658908の代替品&lt;6854466の代替品"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75"/>
    <m/>
    <m/>
    <m/>
    <m/>
    <s v="藤井 美沙＜高橋 康平&lt;鈴木 夕香&lt;長谷川 涼"/>
    <m/>
    <m/>
    <m/>
    <b v="0"/>
    <x v="0"/>
    <x v="5"/>
    <s v="SSD512GB"/>
    <s v="16GB"/>
    <s v="6928404"/>
    <s v="20VJS17X00"/>
    <s v="PW01ELSH"/>
    <s v="第35次"/>
    <d v="2022-10-24T15:00:00"/>
    <s v="6770907の代替品"/>
    <x v="23"/>
    <s v="（仮）横河レンタリース"/>
    <m/>
    <m/>
    <m/>
    <s v="D22-580"/>
    <s v="1221002689"/>
    <m/>
    <m/>
    <s v="4,200"/>
    <m/>
    <m/>
    <s v="リプレース"/>
    <m/>
    <s v=""/>
    <s v=""/>
    <s v=""/>
    <s v=""/>
    <s v=""/>
    <m/>
    <s v="アイテム"/>
    <s v="sites/itsupport/Lists/PC Flight 4"/>
  </r>
  <r>
    <s v="FMIPC1376"/>
    <m/>
    <m/>
    <m/>
    <m/>
    <s v="尾形 康恵&lt;田村 草太＜中村 吉貴"/>
    <m/>
    <m/>
    <m/>
    <b v="0"/>
    <x v="0"/>
    <x v="5"/>
    <s v="SSD512GB"/>
    <s v="16GB"/>
    <s v="6780578"/>
    <s v="20VJS17X00"/>
    <s v="PW005ALZ"/>
    <s v="第35次"/>
    <d v="2022-10-24T15:00:00"/>
    <s v="6710836代替品&lt;6778463の代替品"/>
    <x v="23"/>
    <s v="（仮）横河レンタリース"/>
    <m/>
    <m/>
    <m/>
    <s v="D22-580"/>
    <s v="1221002689"/>
    <m/>
    <m/>
    <s v="4,200"/>
    <m/>
    <m/>
    <m/>
    <m/>
    <s v=""/>
    <s v=""/>
    <s v=""/>
    <s v=""/>
    <s v=""/>
    <m/>
    <s v="アイテム"/>
    <s v="sites/itsupport/Lists/PC Flight 4"/>
  </r>
  <r>
    <s v="FMIPC1377"/>
    <m/>
    <m/>
    <m/>
    <m/>
    <s v="石川 愁"/>
    <m/>
    <m/>
    <m/>
    <b v="0"/>
    <x v="0"/>
    <x v="5"/>
    <s v="SSD512GB"/>
    <s v="16GB"/>
    <s v="6543129"/>
    <s v="20VJS17X00"/>
    <s v="R912AZTV"/>
    <s v="第37次"/>
    <d v="2023-01-18T15:00:00"/>
    <m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78"/>
    <m/>
    <s v="（貸出不可）"/>
    <m/>
    <s v="特殊タスク"/>
    <s v="柿本 蓮"/>
    <m/>
    <m/>
    <m/>
    <b v="1"/>
    <x v="3"/>
    <x v="8"/>
    <s v="SSD512GB"/>
    <s v="16GB"/>
    <s v="7448604"/>
    <s v="21FHS05400"/>
    <m/>
    <s v="第37次"/>
    <d v="2023-01-18T15:00:00"/>
    <s v="6619146の代替品"/>
    <x v="24"/>
    <s v="（仮）横河レンタリース"/>
    <m/>
    <m/>
    <m/>
    <s v="D23-001"/>
    <s v="1221211408"/>
    <m/>
    <m/>
    <s v="4,200"/>
    <m/>
    <m/>
    <s v="対応不要"/>
    <m/>
    <s v=""/>
    <s v=""/>
    <s v=""/>
    <s v=""/>
    <s v=""/>
    <m/>
    <s v="アイテム"/>
    <s v="sites/itsupport/Lists/PC Flight 4"/>
  </r>
  <r>
    <s v="FMIPC1379"/>
    <m/>
    <m/>
    <m/>
    <s v="返却待ち"/>
    <s v="高久 昌英&lt;横山 加奈&lt;門田 義弘"/>
    <m/>
    <m/>
    <m/>
    <b v="1"/>
    <x v="4"/>
    <x v="5"/>
    <s v="SSD512GB"/>
    <s v="16GB"/>
    <s v="6801518"/>
    <s v="20VJS17X00"/>
    <s v="PW0065B2"/>
    <s v="第37次"/>
    <d v="2023-01-18T15:00:00"/>
    <s v="6710837の代替品"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0"/>
    <m/>
    <m/>
    <m/>
    <s v="遊休"/>
    <s v="小柳 寛人&lt;荒木 昇&lt;杉本 優太さん一時利用＜堀越さん一時利用&lt;金 昇赫"/>
    <m/>
    <m/>
    <m/>
    <b v="0"/>
    <x v="4"/>
    <x v="5"/>
    <s v="SSD512GB"/>
    <s v="16GB"/>
    <s v="6743890"/>
    <s v="20VJS17X00"/>
    <s v="PW0065A5"/>
    <s v="第37次"/>
    <d v="2023-01-18T15:00:00"/>
    <s v="英字配列に設定"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81"/>
    <m/>
    <m/>
    <m/>
    <s v="返却待ち"/>
    <s v="厳 日恒"/>
    <m/>
    <m/>
    <m/>
    <b v="1"/>
    <x v="4"/>
    <x v="5"/>
    <s v="SSD512GB"/>
    <s v="16GB"/>
    <s v="6850797"/>
    <s v="20VJS17X00"/>
    <s v="PW0065AK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2"/>
    <m/>
    <m/>
    <m/>
    <s v="遊休"/>
    <s v="小島 啓次郎"/>
    <m/>
    <m/>
    <m/>
    <b v="1"/>
    <x v="4"/>
    <x v="5"/>
    <s v="SSD512GB"/>
    <s v="16GB"/>
    <s v="6740279"/>
    <s v="20VJS17X00"/>
    <s v="PW005ANS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3"/>
    <m/>
    <m/>
    <m/>
    <s v="遊休"/>
    <s v="佐藤 駿介"/>
    <m/>
    <m/>
    <m/>
    <b v="1"/>
    <x v="4"/>
    <x v="5"/>
    <s v="SSD512GB"/>
    <s v="16GB"/>
    <s v="6619053"/>
    <s v="20VJS17X00"/>
    <s v="R913Z759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4"/>
    <m/>
    <m/>
    <m/>
    <s v="返却待ち"/>
    <s v="野間 健太郎&lt;杉本 穂乃佳"/>
    <m/>
    <m/>
    <m/>
    <b v="1"/>
    <x v="4"/>
    <x v="5"/>
    <s v="SSD512GB"/>
    <s v="16GB"/>
    <s v="6658901"/>
    <s v="20VJS17X00"/>
    <s v="R913Z75X"/>
    <s v="第37次"/>
    <d v="2023-01-18T15:00:00"/>
    <m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85"/>
    <m/>
    <s v="津村 裕之"/>
    <s v="h.tsumura@frontier-mgmt.com"/>
    <s v="社員"/>
    <s v="杉山 宗太郎"/>
    <m/>
    <m/>
    <m/>
    <b v="1"/>
    <x v="2"/>
    <x v="5"/>
    <s v="SSD512GB"/>
    <s v="16GB"/>
    <s v="6619130"/>
    <s v="20VJS17X00"/>
    <s v="R913Z75N"/>
    <s v="第37次"/>
    <d v="2023-01-18T15:00:00"/>
    <s v="6710592の代替品"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6"/>
    <m/>
    <m/>
    <m/>
    <s v="遊休"/>
    <s v="大阪支店予備PC１&lt;滝村 孝介"/>
    <m/>
    <m/>
    <m/>
    <b v="1"/>
    <x v="4"/>
    <x v="5"/>
    <s v="SSD512GB"/>
    <s v="16GB"/>
    <s v="6743927"/>
    <s v="20VJS17X00"/>
    <s v="PW005AFK"/>
    <s v="第37次"/>
    <d v="2023-01-18T15:00:00"/>
    <s v="6770957の代替品"/>
    <x v="24"/>
    <s v="（仮）横河レンタリース"/>
    <m/>
    <m/>
    <m/>
    <s v="D23-001"/>
    <s v="1221211408"/>
    <m/>
    <m/>
    <s v="4,200"/>
    <m/>
    <m/>
    <s v="個別対応"/>
    <m/>
    <s v=""/>
    <s v=""/>
    <s v=""/>
    <s v=""/>
    <s v=""/>
    <m/>
    <s v="アイテム"/>
    <s v="sites/itsupport/Lists/PC Flight 4"/>
  </r>
  <r>
    <s v="FMIPC1387"/>
    <m/>
    <s v="田島 なつき"/>
    <s v="n.tajima@frontier-mgmt.com"/>
    <s v="社員"/>
    <m/>
    <m/>
    <m/>
    <m/>
    <b v="1"/>
    <x v="2"/>
    <x v="5"/>
    <s v="SSD512GB"/>
    <s v="16GB"/>
    <s v="6770998"/>
    <s v="20VJS17X00"/>
    <s v="PW005B5W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8"/>
    <m/>
    <m/>
    <m/>
    <m/>
    <s v="立山 采澄"/>
    <m/>
    <m/>
    <m/>
    <b v="1"/>
    <x v="4"/>
    <x v="5"/>
    <s v="SSD512GB"/>
    <s v="16GB"/>
    <s v="6770999"/>
    <s v="20VJS17X00"/>
    <s v="PW005B1X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89"/>
    <m/>
    <m/>
    <m/>
    <s v="遊休"/>
    <s v="張 惜来"/>
    <m/>
    <m/>
    <m/>
    <b v="1"/>
    <x v="4"/>
    <x v="5"/>
    <s v="SSD512GB"/>
    <s v="16GB"/>
    <s v="6771002"/>
    <s v="20VJS17X00"/>
    <s v="PW005B51"/>
    <s v="第37次"/>
    <d v="2023-01-18T15:00:00"/>
    <m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90"/>
    <m/>
    <s v="ニコラエ アドリアナ"/>
    <s v="a.nicolaie@frontier-mgmt.com"/>
    <s v="社員"/>
    <m/>
    <m/>
    <m/>
    <m/>
    <b v="1"/>
    <x v="2"/>
    <x v="5"/>
    <s v="SSD512GB"/>
    <s v="16GB"/>
    <s v="6778464"/>
    <s v="20VJS17X00"/>
    <s v="PW005B1C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91"/>
    <m/>
    <m/>
    <m/>
    <m/>
    <s v="倉 盛楠&lt;松田 優吾"/>
    <m/>
    <m/>
    <m/>
    <b v="0"/>
    <x v="0"/>
    <x v="5"/>
    <s v="SSD512GB"/>
    <s v="16GB"/>
    <s v="6710805"/>
    <s v="20VJS17X00"/>
    <s v="PW005AJA"/>
    <s v="第37次"/>
    <d v="2023-01-18T15:00:00"/>
    <s v="6778518の代替機"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92"/>
    <m/>
    <m/>
    <m/>
    <m/>
    <s v="南野 圭吾"/>
    <m/>
    <m/>
    <m/>
    <b v="0"/>
    <x v="0"/>
    <x v="5"/>
    <s v="SSD512GB"/>
    <s v="16GB"/>
    <s v="6801557"/>
    <s v="20VJS17X00"/>
    <s v="PW0065GX"/>
    <s v="第37次"/>
    <d v="2023-01-18T15:00:00"/>
    <m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93"/>
    <m/>
    <s v="米村 拓真"/>
    <s v="t.yonemura@frontier-mgmt.com"/>
    <s v="社員"/>
    <m/>
    <m/>
    <m/>
    <m/>
    <b v="1"/>
    <x v="2"/>
    <x v="5"/>
    <s v="SSD512GB"/>
    <s v="16GB"/>
    <s v="6953478"/>
    <s v="20VJS17X00"/>
    <s v="PW01E77H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94"/>
    <m/>
    <s v="堀越 康夫"/>
    <s v="y.horikoshi@frontier-mgmt.com"/>
    <s v="社員"/>
    <s v="中村　陽平"/>
    <m/>
    <m/>
    <m/>
    <b v="1"/>
    <x v="2"/>
    <x v="5"/>
    <s v="SSD512GB"/>
    <s v="16GB"/>
    <s v="6963461"/>
    <s v="20VJS17X00"/>
    <s v="PW01E74X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s v="FCI"/>
    <s v="アイテム"/>
    <s v="sites/itsupport/Lists/PC Flight 4"/>
  </r>
  <r>
    <s v="FMIPC1395"/>
    <m/>
    <m/>
    <m/>
    <s v="遊休"/>
    <s v="榑沼　道久＜大野 真央＜羽生 和陽"/>
    <m/>
    <m/>
    <m/>
    <b v="1"/>
    <x v="4"/>
    <x v="5"/>
    <s v="SSD512GB"/>
    <s v="16GB"/>
    <s v="6976863"/>
    <s v="20VJS17X00"/>
    <s v="PW01ELWC"/>
    <s v="第37次"/>
    <d v="2023-01-18T15:00:00"/>
    <m/>
    <x v="24"/>
    <s v="（仮）横河レンタリース"/>
    <m/>
    <m/>
    <m/>
    <s v="D23-001"/>
    <s v="1221211408"/>
    <m/>
    <m/>
    <s v="4,200"/>
    <m/>
    <m/>
    <m/>
    <m/>
    <s v=""/>
    <s v=""/>
    <s v=""/>
    <s v=""/>
    <s v=""/>
    <m/>
    <s v="アイテム"/>
    <s v="sites/itsupport/Lists/PC Flight 4"/>
  </r>
  <r>
    <s v="FMIPC1396"/>
    <m/>
    <m/>
    <m/>
    <s v="遊休"/>
    <s v="山口 渉"/>
    <m/>
    <m/>
    <m/>
    <b v="1"/>
    <x v="4"/>
    <x v="5"/>
    <s v="SSD512GB"/>
    <s v="16GB"/>
    <s v="6976899"/>
    <s v="20VJS17X00"/>
    <s v="PW01ELSW"/>
    <s v="第37次"/>
    <d v="2023-01-18T15:00:00"/>
    <m/>
    <x v="24"/>
    <s v="（仮）横河レンタリース"/>
    <m/>
    <m/>
    <m/>
    <s v="D23-001"/>
    <s v="1221211408"/>
    <m/>
    <m/>
    <s v="4,200"/>
    <m/>
    <m/>
    <s v="WSUS対応予定"/>
    <m/>
    <s v=""/>
    <s v=""/>
    <s v=""/>
    <s v=""/>
    <s v=""/>
    <m/>
    <s v="アイテム"/>
    <s v="sites/itsupport/Lists/PC Flight 4"/>
  </r>
  <r>
    <s v="FMIPC1397"/>
    <m/>
    <s v="検証機①Ghostインストール環境"/>
    <m/>
    <s v="特殊タスク"/>
    <m/>
    <m/>
    <m/>
    <m/>
    <b v="1"/>
    <x v="2"/>
    <x v="13"/>
    <s v="SSD256GB"/>
    <s v="16GB"/>
    <s v="15377570"/>
    <s v="21BQS1D900"/>
    <s v="PF3YWB8T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対応不要"/>
    <m/>
    <s v=""/>
    <s v=""/>
    <s v=""/>
    <s v=""/>
    <s v=""/>
    <m/>
    <s v="アイテム"/>
    <s v="sites/itsupport/Lists/PC Flight 4"/>
  </r>
  <r>
    <s v="FMIPC1398"/>
    <m/>
    <s v="吉野 信弘"/>
    <s v="n.yoshino@frontier-mgmt.com"/>
    <s v="外注"/>
    <s v="久保田 一史 &lt; 四戸　和徳&lt;マスター作業"/>
    <s v="MURASE Kyogo(村瀬協吾)"/>
    <d v="2025-01-29T00:00:00"/>
    <m/>
    <b v="1"/>
    <x v="2"/>
    <x v="13"/>
    <s v="SSD256GB"/>
    <s v="16GB"/>
    <s v="16048490 "/>
    <s v="21BQS1D900"/>
    <s v="PF40X4DP"/>
    <s v="第38次"/>
    <d v="2023-04-30T15:00:00"/>
    <s v="ソフトバンクからレンタル　14956300の代替機＜15377610の代替機"/>
    <x v="25"/>
    <s v="ソフトバンク"/>
    <m/>
    <m/>
    <m/>
    <s v="D23-165"/>
    <s v="KR4051952  "/>
    <m/>
    <m/>
    <s v="3,850"/>
    <m/>
    <m/>
    <s v="WSUS対応予定"/>
    <m/>
    <s v="n.yoshino@frontier-mgmt.com;#161"/>
    <s v="Luopan;#161"/>
    <s v="吉野;#161"/>
    <s v="信弘;#161"/>
    <s v="Turin-B;#161"/>
    <m/>
    <s v="アイテム"/>
    <s v="sites/itsupport/Lists/PC Flight 4"/>
  </r>
  <r>
    <s v="FMIPC1399"/>
    <m/>
    <m/>
    <m/>
    <s v="遊休"/>
    <s v="安田 瞳&lt;藪内 克宜"/>
    <m/>
    <m/>
    <m/>
    <b v="1"/>
    <x v="5"/>
    <x v="13"/>
    <s v="SSD256GB"/>
    <s v="16GB"/>
    <s v="15377640"/>
    <s v="21BQS1D900"/>
    <s v="PF3YC0HJ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対応不要"/>
    <m/>
    <s v=""/>
    <s v=""/>
    <s v=""/>
    <s v=""/>
    <s v=""/>
    <m/>
    <s v="アイテム"/>
    <s v="sites/itsupport/Lists/PC Flight 4"/>
  </r>
  <r>
    <s v="FMIPC1400"/>
    <m/>
    <s v="佐久間 祐綱"/>
    <s v="y.sakuma@frontier-mgmt.com"/>
    <s v="社員"/>
    <m/>
    <m/>
    <m/>
    <m/>
    <b v="1"/>
    <x v="2"/>
    <x v="13"/>
    <s v="SSD256GB"/>
    <s v="16GB"/>
    <s v="15377580"/>
    <s v="21BQS1D900"/>
    <s v="PF3YC9TH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対応不要"/>
    <m/>
    <s v=""/>
    <s v=""/>
    <s v=""/>
    <s v=""/>
    <s v=""/>
    <m/>
    <s v="アイテム"/>
    <s v="sites/itsupport/Lists/PC Flight 4"/>
  </r>
  <r>
    <s v="FMIPC1401"/>
    <m/>
    <s v="山田 隆司"/>
    <s v="ta.yamada@frontier-mgmt.com"/>
    <s v="社員"/>
    <s v="上山 聡子"/>
    <m/>
    <m/>
    <m/>
    <b v="1"/>
    <x v="2"/>
    <x v="13"/>
    <s v="SSD256GB"/>
    <s v="16GB"/>
    <s v="15377590"/>
    <s v="21BQS1D900"/>
    <s v="PF3YCGNL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2"/>
    <m/>
    <s v="橋本 朋佳"/>
    <s v="to.hashimoto@frontier-mgmt.com"/>
    <s v="社員"/>
    <m/>
    <m/>
    <m/>
    <m/>
    <b v="1"/>
    <x v="2"/>
    <x v="13"/>
    <s v="SSD256GB"/>
    <s v="16GB"/>
    <s v="15377600(間違っている)"/>
    <s v="21BQS1D900"/>
    <s v="PF3YC9S4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3"/>
    <s v="FMIPC-DZHwIHNQs"/>
    <s v="黒川 慧"/>
    <s v="s.kurokawa@frontier-mgmt.com"/>
    <s v="社員"/>
    <s v="ユスポベ　フォヅリベク"/>
    <m/>
    <m/>
    <m/>
    <b v="1"/>
    <x v="2"/>
    <x v="13"/>
    <s v="SSD256GB"/>
    <s v="16GB"/>
    <s v="15377620"/>
    <s v="21BQS1D900"/>
    <s v="PF3YV2GN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5"/>
    <m/>
    <s v="大野 俊介"/>
    <s v="s.ono@frontier-mgmt.com"/>
    <s v="社員"/>
    <s v="倉田 薫"/>
    <m/>
    <m/>
    <m/>
    <b v="1"/>
    <x v="2"/>
    <x v="13"/>
    <s v="SSD256GB"/>
    <s v="16GB"/>
    <s v="15377630"/>
    <s v="21BQS1D900"/>
    <s v="PF3YW68P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4"/>
    <m/>
    <m/>
    <m/>
    <s v="遊休"/>
    <s v="倉田 薫&lt;松崎 勝彦"/>
    <m/>
    <m/>
    <m/>
    <b v="1"/>
    <x v="5"/>
    <x v="13"/>
    <s v="SSD256GB"/>
    <s v="16GB"/>
    <s v="15377650(間違っている)"/>
    <s v="21BQS1D900"/>
    <s v="PF3YW9VJ"/>
    <s v="第38次"/>
    <d v="2023-04-30T15:00:00"/>
    <s v="ソフトバンクからレンタル"/>
    <x v="25"/>
    <s v="ソフトバンク"/>
    <m/>
    <m/>
    <m/>
    <s v="D23-165"/>
    <s v="KR4051952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6"/>
    <s v="FMIPC-SRwcnOAPh"/>
    <s v="研修用PC"/>
    <m/>
    <s v="特殊タスク"/>
    <s v="二藤部　高行&lt;大西 恭平＜細見 知恵美&lt;伊藤 友理"/>
    <m/>
    <m/>
    <m/>
    <b v="1"/>
    <x v="2"/>
    <x v="13"/>
    <s v="SSD256GB"/>
    <s v="16GB"/>
    <s v="14956300"/>
    <s v="21BQS1D900"/>
    <s v="PF3YTV56"/>
    <s v="第38次"/>
    <d v="2023-04-30T15:00:00"/>
    <s v="ソフトバンクからレンタル　15377600の代替品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07"/>
    <m/>
    <m/>
    <m/>
    <s v="遊休"/>
    <s v="上山 聡子"/>
    <m/>
    <m/>
    <m/>
    <b v="1"/>
    <x v="5"/>
    <x v="13"/>
    <s v="SSD256GB"/>
    <s v="16GB"/>
    <s v="15377350"/>
    <s v="21BQS1D900"/>
    <s v="PF3YCC56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個別対応"/>
    <m/>
    <s v=""/>
    <s v=""/>
    <s v=""/>
    <s v=""/>
    <s v=""/>
    <m/>
    <s v="アイテム"/>
    <s v="sites/itsupport/Lists/PC Flight 4"/>
  </r>
  <r>
    <s v="FMIPC1408"/>
    <m/>
    <s v="丸山 隼人"/>
    <s v="h.maruyama@frontier-mgmt.com"/>
    <s v="社員"/>
    <m/>
    <m/>
    <m/>
    <m/>
    <b v="1"/>
    <x v="2"/>
    <x v="13"/>
    <s v="SSD256GB"/>
    <s v="16GB"/>
    <s v="15377700"/>
    <s v="21BQS1D900"/>
    <s v="PF3YC9SS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s v="FMI;#FCI出向"/>
    <s v="アイテム"/>
    <s v="sites/itsupport/Lists/PC Flight 4"/>
  </r>
  <r>
    <s v="FMIPC1409"/>
    <m/>
    <m/>
    <m/>
    <s v="遊休"/>
    <s v="繆 軼君(FMSI)"/>
    <m/>
    <m/>
    <m/>
    <b v="1"/>
    <x v="5"/>
    <x v="13"/>
    <s v="SSD256GB"/>
    <s v="16GB"/>
    <s v="15377250"/>
    <s v="21BQS1D900"/>
    <s v="PF3YC57D"/>
    <s v="第38次"/>
    <d v="2023-04-30T15:00:00"/>
    <s v="ソフトバンクからレンタル,上海に郵送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0"/>
    <m/>
    <s v="片桐　秀樹"/>
    <s v="h.katagiri@frontier-mgmt.com"/>
    <s v="外注"/>
    <s v="宮藤 輝&lt;谷口 勇人"/>
    <s v="AOKI Takenori(青木)"/>
    <d v="2025-02-05T00:00:00"/>
    <m/>
    <b v="1"/>
    <x v="2"/>
    <x v="13"/>
    <s v="SSD256GB"/>
    <s v="16GB"/>
    <s v="16005230"/>
    <s v="21BQS1D900"/>
    <s v="PF40T8Z1"/>
    <s v="第38次"/>
    <d v="2023-04-30T15:00:00"/>
    <s v="ソフトバンクからレンタル, 15377680の代替機&gt;15675990の代替機"/>
    <x v="25"/>
    <s v="ソフトバンク"/>
    <m/>
    <m/>
    <m/>
    <s v="D23-165"/>
    <s v="KR4050738"/>
    <m/>
    <m/>
    <s v="3,850"/>
    <m/>
    <m/>
    <s v="WSUS対応予定"/>
    <m/>
    <s v="h.katagiri@frontier-mgmt.com;#157"/>
    <s v="Be Shown株式会社;#157"/>
    <s v="片桐;#157"/>
    <s v="秀樹;#157"/>
    <s v="Zircon;#157"/>
    <m/>
    <s v="アイテム"/>
    <s v="sites/itsupport/Lists/PC Flight 4"/>
  </r>
  <r>
    <s v="FMIPC1411"/>
    <m/>
    <s v="黒部 麻由子"/>
    <s v="m.kurobe@frontier-mgmt.com"/>
    <s v="社員"/>
    <s v="葭村 侑真"/>
    <m/>
    <m/>
    <m/>
    <b v="1"/>
    <x v="2"/>
    <x v="13"/>
    <s v="SSD256GB"/>
    <s v="16GB"/>
    <s v="15377360"/>
    <s v="21BQS1D900"/>
    <s v="PF3YWEY7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2"/>
    <s v="FMIPC-fPRZobTyd"/>
    <s v="小波 憲司"/>
    <s v="k.konami@frontier-mgmt.com"/>
    <s v="社員"/>
    <s v="相澤 光紀"/>
    <m/>
    <m/>
    <m/>
    <b v="1"/>
    <x v="2"/>
    <x v="13"/>
    <s v="SSD256GB"/>
    <s v="16GB"/>
    <s v="15425720"/>
    <s v="21BQS1D900"/>
    <s v="PF3YTXAV"/>
    <s v="第38次"/>
    <d v="2023-04-30T15:00:00"/>
    <s v="ソフトバンクからレンタル,15377670の代替機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3"/>
    <m/>
    <s v="大河内 啓一郎"/>
    <s v="k.okochi@frontier-mgmt.com"/>
    <s v="社員"/>
    <m/>
    <m/>
    <m/>
    <m/>
    <b v="1"/>
    <x v="2"/>
    <x v="13"/>
    <s v="SSD256GB"/>
    <s v="16GB"/>
    <s v="15377690"/>
    <s v="21BQS1D900"/>
    <s v="PF3YW80C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4"/>
    <m/>
    <m/>
    <m/>
    <s v="遊休"/>
    <s v="水野 健人&lt;滝澤 理"/>
    <m/>
    <m/>
    <m/>
    <b v="1"/>
    <x v="5"/>
    <x v="13"/>
    <s v="SSD256GB"/>
    <s v="16GB"/>
    <s v="15377710"/>
    <s v="21BQS1D900"/>
    <s v="PF3YWCP8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対応不要"/>
    <m/>
    <s v=""/>
    <s v=""/>
    <s v=""/>
    <s v=""/>
    <s v=""/>
    <m/>
    <s v="アイテム"/>
    <s v="sites/itsupport/Lists/PC Flight 4"/>
  </r>
  <r>
    <s v="FMIPC1415"/>
    <m/>
    <s v="平山 央"/>
    <s v="a.hirayama@frontier-mgmt.com"/>
    <s v="社員"/>
    <s v="藤田 和也"/>
    <m/>
    <m/>
    <m/>
    <b v="1"/>
    <x v="2"/>
    <x v="13"/>
    <s v="SSD256GB"/>
    <s v="16GB"/>
    <s v="15676430"/>
    <s v="21BQS1D900"/>
    <s v="PF-3YWG84"/>
    <s v="第38次"/>
    <d v="2023-04-30T15:00:00"/>
    <s v="ソフトバンクからレンタル, 15377720の代替機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6"/>
    <m/>
    <m/>
    <m/>
    <s v="遊休"/>
    <s v="高 資傑"/>
    <m/>
    <m/>
    <m/>
    <b v="1"/>
    <x v="5"/>
    <x v="13"/>
    <s v="SSD256GB"/>
    <s v="16GB"/>
    <s v="17060450"/>
    <s v="21EY-S7DM00"/>
    <s v="GM0FD7CG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対応不要"/>
    <m/>
    <s v=""/>
    <s v=""/>
    <s v=""/>
    <s v=""/>
    <s v=""/>
    <m/>
    <s v="アイテム"/>
    <s v="sites/itsupport/Lists/PC Flight 4"/>
  </r>
  <r>
    <s v="FMIPC1417"/>
    <m/>
    <s v="堀籠 亘"/>
    <s v="w.horigome@frontier-mgmt.com"/>
    <s v="社員"/>
    <s v="堀尾 賢太&lt;Fong Derek"/>
    <m/>
    <m/>
    <m/>
    <b v="1"/>
    <x v="2"/>
    <x v="13"/>
    <s v="SSD256GB"/>
    <s v="16GB"/>
    <s v="15377740"/>
    <s v="21BQS1D900"/>
    <s v="PF3YC2RS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18"/>
    <m/>
    <s v="武　あゆみ"/>
    <s v="a.take@frontier-mgmt.com"/>
    <s v="社員"/>
    <s v="戸張 隆太"/>
    <m/>
    <m/>
    <m/>
    <b v="1"/>
    <x v="2"/>
    <x v="13"/>
    <s v="SSD256GB"/>
    <s v="16GB"/>
    <s v="16050930"/>
    <s v="21BQS1D900"/>
    <s v="PF40TARR"/>
    <s v="第38次"/>
    <d v="2023-04-30T15:00:00"/>
    <s v="ソフトバンクからレンタル、15377270の代替機"/>
    <x v="25"/>
    <s v="ソフトバンク"/>
    <m/>
    <m/>
    <m/>
    <s v="D23-165"/>
    <s v="KR4050738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419"/>
    <m/>
    <m/>
    <m/>
    <s v="遊休"/>
    <s v="鞠本 鉄平"/>
    <m/>
    <m/>
    <m/>
    <b v="1"/>
    <x v="5"/>
    <x v="13"/>
    <s v="SSD256GB"/>
    <s v="16GB"/>
    <s v="15377260"/>
    <s v="21BQS1D900"/>
    <s v="PF3YCC38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0"/>
    <m/>
    <s v="原 和也"/>
    <s v="k.hara@frontier-mgmt.com"/>
    <s v="外注"/>
    <s v="植村 健"/>
    <s v="OKOCHI Keiichiro(大河内)"/>
    <m/>
    <m/>
    <b v="1"/>
    <x v="2"/>
    <x v="13"/>
    <s v="SSD256GB"/>
    <s v="16GB"/>
    <s v="16050950"/>
    <s v="21BQS1D900"/>
    <s v="PF40WEPZ"/>
    <s v="第38次"/>
    <d v="2023-04-30T15:00:00"/>
    <s v="ソフトバンクからレンタル,15377280の代替品"/>
    <x v="25"/>
    <s v="ソフトバンク"/>
    <m/>
    <m/>
    <m/>
    <s v="D23-165"/>
    <s v="KR4050738"/>
    <m/>
    <m/>
    <s v="3,850"/>
    <m/>
    <m/>
    <s v="WSUS対応予定"/>
    <m/>
    <s v="k.hara@frontier-mgmt.com;#153"/>
    <s v="ランサーズ株式会社;#153"/>
    <s v="原;#153"/>
    <s v="和也;#153"/>
    <s v="PJ Supernova;#153"/>
    <m/>
    <s v="アイテム"/>
    <s v="sites/itsupport/Lists/PC Flight 4"/>
  </r>
  <r>
    <s v="FMIPC1421"/>
    <m/>
    <s v="内堀 哲志"/>
    <s v="t.uchibori@frontier-mgmt.com"/>
    <s v="社員"/>
    <m/>
    <m/>
    <m/>
    <m/>
    <b v="1"/>
    <x v="2"/>
    <x v="13"/>
    <s v="SSD256GB"/>
    <s v="16GB"/>
    <s v="15377300"/>
    <s v="21BQS1D900"/>
    <s v="PF3YW814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2"/>
    <m/>
    <m/>
    <m/>
    <s v="遊休"/>
    <s v="髙橋 瑞穂"/>
    <m/>
    <m/>
    <m/>
    <b v="1"/>
    <x v="5"/>
    <x v="13"/>
    <s v="SSD256GB"/>
    <s v="16GB"/>
    <s v="16092570"/>
    <s v="21BQS1D900"/>
    <s v="PF40WC5F"/>
    <s v="第38次"/>
    <d v="2023-04-30T15:00:00"/>
    <s v="ソフトバンクからレンタル,15377290の代替品"/>
    <x v="25"/>
    <s v="ソフトバンク"/>
    <m/>
    <m/>
    <m/>
    <s v="D23-165"/>
    <s v="KR4050738"/>
    <m/>
    <m/>
    <s v="3,850"/>
    <m/>
    <m/>
    <s v="対応不要"/>
    <m/>
    <s v=""/>
    <s v=""/>
    <s v=""/>
    <s v=""/>
    <s v=""/>
    <m/>
    <s v="アイテム"/>
    <s v="sites/itsupport/Lists/PC Flight 4"/>
  </r>
  <r>
    <s v="FMIPC1423"/>
    <m/>
    <s v="藤原 淳"/>
    <s v="j.fujiwara@frontier-mgmt.com"/>
    <s v="社員"/>
    <m/>
    <m/>
    <m/>
    <m/>
    <b v="1"/>
    <x v="2"/>
    <x v="13"/>
    <s v="SSD256GB"/>
    <s v="16GB"/>
    <s v="15377310"/>
    <s v="21BQS1D900"/>
    <s v="PF3YWEYV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4"/>
    <m/>
    <s v="小堀 健二"/>
    <s v="k.kobori@frontier-mgmt.com"/>
    <s v="社員"/>
    <s v="小林 由起"/>
    <m/>
    <m/>
    <m/>
    <b v="1"/>
    <x v="2"/>
    <x v="13"/>
    <s v="SSD256GB"/>
    <s v="16GB"/>
    <s v="15377320"/>
    <s v="21BQS1D900"/>
    <s v="PF3YV2F9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5"/>
    <m/>
    <s v="奥冨 篤哉"/>
    <s v="a.okutomi@frontier-mgmt.com"/>
    <s v="社員"/>
    <m/>
    <m/>
    <m/>
    <m/>
    <b v="1"/>
    <x v="2"/>
    <x v="13"/>
    <s v="SSD256GB"/>
    <s v="16GB"/>
    <s v="15377330"/>
    <s v="21BQS1D900"/>
    <s v="PF3YWEZC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6"/>
    <m/>
    <s v="高藤 直子"/>
    <s v="n.takato@frontier-mgmt.com"/>
    <s v="社員"/>
    <s v="張 嘉歓"/>
    <m/>
    <m/>
    <m/>
    <b v="1"/>
    <x v="2"/>
    <x v="13"/>
    <s v="SSD256GB"/>
    <s v="16GB"/>
    <s v="15377340"/>
    <s v="21BQS1D900"/>
    <s v="PF3YCC2M"/>
    <s v="第38次"/>
    <d v="2023-04-30T15:00:00"/>
    <s v="ソフトバンクからレンタル"/>
    <x v="25"/>
    <s v="ソフトバンク"/>
    <m/>
    <m/>
    <m/>
    <s v="D23-165"/>
    <s v="KR4050738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28"/>
    <m/>
    <m/>
    <m/>
    <s v="遊休"/>
    <s v="高野さん依頼PC（TSR変換）&lt;笹田 憲哉"/>
    <m/>
    <m/>
    <m/>
    <b v="0"/>
    <x v="5"/>
    <x v="14"/>
    <s v="256GB"/>
    <s v="8GB"/>
    <s v="-"/>
    <s v="P90F005"/>
    <s v="8ZNG2D3"/>
    <s v="-"/>
    <d v="2021-05-31T15:00:00"/>
    <s v="RCA室で購入したが不要とのこと(D21-399)"/>
    <x v="0"/>
    <s v="（仮）横河レンタリース"/>
    <s v="-"/>
    <s v="-"/>
    <s v="購入"/>
    <m/>
    <s v="購入"/>
    <m/>
    <m/>
    <m/>
    <m/>
    <m/>
    <s v="WSUS対応予定"/>
    <m/>
    <s v=""/>
    <s v=""/>
    <s v=""/>
    <s v=""/>
    <s v=""/>
    <m/>
    <s v="アイテム"/>
    <s v="sites/itsupport/Lists/PC Flight 4"/>
  </r>
  <r>
    <s v="FMIPC1427"/>
    <m/>
    <s v="受付DVD再生用"/>
    <m/>
    <s v="特殊タスク"/>
    <s v="James Horiuchi"/>
    <m/>
    <m/>
    <m/>
    <b v="0"/>
    <x v="2"/>
    <x v="15"/>
    <s v="SSD512GB"/>
    <s v="16GB"/>
    <m/>
    <s v="21B3CTO1WW"/>
    <s v="PW05BMS4"/>
    <m/>
    <m/>
    <s v="英字キーボード，購入品"/>
    <x v="0"/>
    <m/>
    <m/>
    <m/>
    <s v="レンタルではなく購入品"/>
    <m/>
    <s v="購入"/>
    <m/>
    <m/>
    <m/>
    <m/>
    <m/>
    <s v="個別対応"/>
    <m/>
    <s v=""/>
    <s v=""/>
    <s v=""/>
    <s v=""/>
    <s v=""/>
    <m/>
    <s v="アイテム"/>
    <s v="sites/itsupport/Lists/PC Flight 4"/>
  </r>
  <r>
    <s v="FMIPC1429"/>
    <m/>
    <m/>
    <m/>
    <s v="遊休"/>
    <s v="Wee Ken"/>
    <m/>
    <m/>
    <m/>
    <b v="0"/>
    <x v="5"/>
    <x v="16"/>
    <s v="SSD512GB"/>
    <s v="16GB"/>
    <s v="-"/>
    <s v="21BN-CT01WW"/>
    <s v="GM-06MPJZ"/>
    <m/>
    <m/>
    <s v="英字キーボード，購入品"/>
    <x v="0"/>
    <m/>
    <m/>
    <m/>
    <s v="レンタルではなく購入品"/>
    <m/>
    <s v="購入"/>
    <m/>
    <m/>
    <m/>
    <m/>
    <m/>
    <s v="個別対応"/>
    <m/>
    <s v=""/>
    <s v=""/>
    <s v=""/>
    <s v=""/>
    <s v=""/>
    <m/>
    <s v="アイテム"/>
    <s v="sites/itsupport/Lists/PC Flight 4"/>
  </r>
  <r>
    <s v="FMIPC1430"/>
    <m/>
    <m/>
    <m/>
    <s v="遊休"/>
    <s v="吉田 圭佑&lt;井原 英毅"/>
    <m/>
    <m/>
    <m/>
    <b v="1"/>
    <x v="5"/>
    <x v="13"/>
    <s v="SSD256GB"/>
    <s v="16GB"/>
    <s v="15597050"/>
    <s v="21BQS1D900"/>
    <s v="PF3YC7QK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1"/>
    <s v="FMIPC-Q8ATYGGVC"/>
    <s v="藤岡 飛鳥"/>
    <s v="a.fujioka@frontier-mgmt.com"/>
    <s v="社員"/>
    <s v="松本 武&lt;野原 美律＜山田 隆司"/>
    <m/>
    <m/>
    <m/>
    <b v="1"/>
    <x v="2"/>
    <x v="13"/>
    <s v="SSD256GB"/>
    <s v="16GB"/>
    <s v="15676610"/>
    <s v="21BQS1D900"/>
    <s v="PF3ZJYH2"/>
    <s v="第39次"/>
    <d v="2023-05-31T15:00:00"/>
    <s v="ソフトバンクからレンタル, 15596810の代替品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2"/>
    <m/>
    <s v="今市 基輝"/>
    <s v="m.imaichi@frontier-mgmt.com"/>
    <s v="社員"/>
    <m/>
    <m/>
    <m/>
    <m/>
    <b v="1"/>
    <x v="2"/>
    <x v="13"/>
    <s v="SSD256GB"/>
    <s v="16GB"/>
    <s v="15596820"/>
    <s v="21BQS1D900"/>
    <s v="PF3YC0NN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3"/>
    <m/>
    <s v="小池 遼(一時利用)"/>
    <s v="r.koike@frontier-mgmt.com"/>
    <s v="社員"/>
    <s v="日野 充貴"/>
    <m/>
    <m/>
    <m/>
    <b v="1"/>
    <x v="2"/>
    <x v="13"/>
    <s v="SSD256GB"/>
    <s v="16GB"/>
    <s v="15596830"/>
    <s v="21BQS1D900"/>
    <s v="PF3YBSJW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4"/>
    <m/>
    <s v="玉山 美紀子"/>
    <s v="m.tamayama@frontier-mgmt.com"/>
    <s v="社員"/>
    <m/>
    <m/>
    <m/>
    <m/>
    <b v="1"/>
    <x v="2"/>
    <x v="13"/>
    <s v="SSD256GB"/>
    <s v="16GB"/>
    <s v="15596840"/>
    <s v="21BQS1D900"/>
    <s v="PF3YCRST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5"/>
    <m/>
    <m/>
    <m/>
    <s v="遊休"/>
    <s v="相澤 光紀&lt;山城 鉄平"/>
    <m/>
    <m/>
    <m/>
    <b v="1"/>
    <x v="5"/>
    <x v="13"/>
    <s v="SSD256GB"/>
    <s v="16GB"/>
    <s v="15596850"/>
    <s v="21BQS1D900"/>
    <s v="PF3YT2NJ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6"/>
    <m/>
    <s v="木村 健大"/>
    <s v="tak.kimura@frontier-mgmt.com"/>
    <s v="社員"/>
    <m/>
    <m/>
    <m/>
    <m/>
    <b v="1"/>
    <x v="2"/>
    <x v="13"/>
    <s v="SSD256GB"/>
    <s v="16GB"/>
    <s v="15596860"/>
    <s v="21BQS1D900"/>
    <s v="PF3YC30W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7"/>
    <m/>
    <s v="荒井 淳佑"/>
    <s v="j.arai@frontier-mgmt.com"/>
    <s v="社員"/>
    <s v="宮崎　慶司&lt;沖野 登史彦＜徐 平"/>
    <m/>
    <m/>
    <m/>
    <b v="1"/>
    <x v="2"/>
    <x v="13"/>
    <s v="SSD256GB"/>
    <s v="16GB"/>
    <s v="16049390"/>
    <s v="21BQS1D900"/>
    <s v="PF40V40F"/>
    <s v="第39次"/>
    <d v="2023-05-31T15:00:00"/>
    <s v="ソフトバンクからレンタル　15596870の代替品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8"/>
    <m/>
    <s v="渡瀬 花"/>
    <s v="h.watase@frontier-mgmt.com"/>
    <s v="社員"/>
    <s v="佐々木 真由美"/>
    <m/>
    <m/>
    <m/>
    <b v="1"/>
    <x v="2"/>
    <x v="13"/>
    <s v="SSD256GB"/>
    <s v="16GB"/>
    <s v="15596880"/>
    <s v="21BQS1D900"/>
    <s v="PF3YT757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39"/>
    <m/>
    <s v="梅沢 康生"/>
    <s v="k.umezawa@frontier-mgmt.com"/>
    <s v="社員"/>
    <s v="藤田 美沙子"/>
    <m/>
    <m/>
    <m/>
    <b v="1"/>
    <x v="2"/>
    <x v="13"/>
    <s v="SSD256GB"/>
    <s v="16GB"/>
    <s v="15596890"/>
    <s v="21BQS1D900"/>
    <s v="PF3Y6EXB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0"/>
    <m/>
    <s v="繆 軼君(FMSI)"/>
    <s v="y.miao@frontier-mgmt.com"/>
    <s v="社員"/>
    <m/>
    <m/>
    <m/>
    <m/>
    <b v="1"/>
    <x v="2"/>
    <x v="13"/>
    <s v="SSD256GB"/>
    <s v="16GB"/>
    <s v="15596900"/>
    <s v="21BQS1D900"/>
    <s v="PF3YBQBZ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1"/>
    <s v="FMIPC-vZmP89yuC"/>
    <s v="宮本 誠也"/>
    <s v="s.miyamoto@frontier-mgmt.com"/>
    <s v="社員"/>
    <s v="若松 陽&lt;新マスターUSB検証"/>
    <m/>
    <m/>
    <m/>
    <b v="1"/>
    <x v="2"/>
    <x v="13"/>
    <s v="SSD256GB"/>
    <s v="16GB"/>
    <s v="15596910"/>
    <s v="21BQS1D900"/>
    <s v="PF3YT0PY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2"/>
    <m/>
    <m/>
    <m/>
    <s v="遊休"/>
    <s v="朴 勝玄&lt;長森 建旺&lt;辻 千恵美"/>
    <m/>
    <m/>
    <m/>
    <b v="1"/>
    <x v="5"/>
    <x v="13"/>
    <s v="SSD256GB"/>
    <s v="16GB"/>
    <s v="15597190"/>
    <s v="21BQS1D900"/>
    <s v="PF3YC0V6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対応不要"/>
    <m/>
    <s v=""/>
    <s v=""/>
    <s v=""/>
    <s v=""/>
    <s v=""/>
    <m/>
    <s v="アイテム"/>
    <s v="sites/itsupport/Lists/PC Flight 4"/>
  </r>
  <r>
    <s v="FMIPC1443"/>
    <m/>
    <s v="熊谷 有莉"/>
    <s v="y.kumagai@frontier-mgmt.com"/>
    <s v="社員"/>
    <s v="峰内 敬司&lt;大迫 友哉"/>
    <m/>
    <m/>
    <m/>
    <b v="1"/>
    <x v="2"/>
    <x v="13"/>
    <s v="SSD256GB"/>
    <s v="16GB"/>
    <s v="15597170"/>
    <s v="21BQS1D900"/>
    <s v="PF3YC0K1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4"/>
    <m/>
    <s v="今井 裕基"/>
    <s v="h.imai@frontier-mgmt.com"/>
    <s v="社員"/>
    <s v="大西 恭平"/>
    <m/>
    <m/>
    <m/>
    <b v="1"/>
    <x v="2"/>
    <x v="13"/>
    <s v="SSD256GB"/>
    <s v="16GB"/>
    <s v="16048820"/>
    <s v="21BQS1D900"/>
    <s v="PF40XSYH"/>
    <s v="第39次"/>
    <d v="2023-05-31T15:00:00"/>
    <s v="ソフトバンクからレンタル 15597110の代替機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s v="FCI"/>
    <s v="アイテム"/>
    <s v="sites/itsupport/Lists/PC Flight 4"/>
  </r>
  <r>
    <s v="FMIPC1445"/>
    <m/>
    <s v="坂本 伸仁"/>
    <s v="n.sakamoto@frontier-mgmt.com"/>
    <s v="社員"/>
    <m/>
    <m/>
    <m/>
    <m/>
    <b v="1"/>
    <x v="2"/>
    <x v="13"/>
    <s v="SSD256GB"/>
    <s v="16GB"/>
    <s v="15597200"/>
    <s v="21BQS1D900"/>
    <s v="PF3YCPJ9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6"/>
    <m/>
    <s v="横田 倫乙"/>
    <s v="m.yokota@frontier-mgmt.com"/>
    <s v="社員"/>
    <m/>
    <m/>
    <m/>
    <m/>
    <b v="1"/>
    <x v="2"/>
    <x v="13"/>
    <s v="SSD256GB"/>
    <s v="16GB"/>
    <s v="15597960"/>
    <s v="21BQS1D900"/>
    <s v="PF3YRMZN"/>
    <s v="第39次"/>
    <d v="2023-05-31T15:00:00"/>
    <s v="ソフトバンクからレンタル, 15597380の代替品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7"/>
    <s v="FMIPC-nKIXftK2c"/>
    <s v="閻 華"/>
    <s v="h.yan@frontier-mgmt.com"/>
    <s v="外注"/>
    <s v="森玉 勝也"/>
    <m/>
    <m/>
    <m/>
    <b v="1"/>
    <x v="6"/>
    <x v="13"/>
    <s v="SSD256GB"/>
    <s v="16GB"/>
    <s v="15597340"/>
    <s v="21BQS1D900"/>
    <s v="PF3ZLQLK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48"/>
    <m/>
    <s v="伴 浩太"/>
    <s v="k.ban@frontier-mgmt.com"/>
    <s v="社員"/>
    <s v="赤木 幹大"/>
    <m/>
    <m/>
    <m/>
    <b v="1"/>
    <x v="2"/>
    <x v="13"/>
    <s v="SSD256GB"/>
    <s v="16GB"/>
    <s v="15597390"/>
    <s v="21BQS1D900"/>
    <s v="PF3YBQCA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s v="FCI"/>
    <s v="アイテム"/>
    <s v="sites/itsupport/Lists/PC Flight 4"/>
  </r>
  <r>
    <s v="FMIPC1449"/>
    <m/>
    <s v="木下 美幸"/>
    <s v="m.kinoshita@frontier-mgmt.com"/>
    <s v="社員"/>
    <s v="江川 泰幸&lt;萩原 好成"/>
    <m/>
    <m/>
    <m/>
    <b v="1"/>
    <x v="2"/>
    <x v="13"/>
    <s v="SSD256GB"/>
    <s v="16GB"/>
    <s v="15597400"/>
    <s v="21BQS1D900"/>
    <s v="PF3YBSHE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0"/>
    <m/>
    <m/>
    <m/>
    <s v="遊休"/>
    <s v="今堀 元皓"/>
    <m/>
    <m/>
    <m/>
    <b v="1"/>
    <x v="5"/>
    <x v="13"/>
    <s v="SSD256GB"/>
    <s v="16GB"/>
    <s v="15597080"/>
    <s v="21BQS1D900"/>
    <s v="PF3ZKNEV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対応不要"/>
    <m/>
    <s v=""/>
    <s v=""/>
    <s v=""/>
    <s v=""/>
    <s v=""/>
    <m/>
    <s v="アイテム"/>
    <s v="sites/itsupport/Lists/PC Flight 4"/>
  </r>
  <r>
    <s v="FMIPC1451"/>
    <m/>
    <m/>
    <m/>
    <s v="遊休"/>
    <s v="大村 祐"/>
    <m/>
    <m/>
    <m/>
    <b v="1"/>
    <x v="5"/>
    <x v="13"/>
    <s v="SSD256GB"/>
    <s v="16GB"/>
    <s v="15597440"/>
    <s v="21BQS1D900"/>
    <s v="PF3ZL8DT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2"/>
    <m/>
    <s v="武元 雄太"/>
    <s v="y.takemoto@frontier-mgmt.com"/>
    <s v="社員"/>
    <s v="竹村 良太"/>
    <m/>
    <m/>
    <m/>
    <b v="1"/>
    <x v="2"/>
    <x v="13"/>
    <s v="SSD256GB"/>
    <s v="16GB"/>
    <s v="15597330"/>
    <s v="21BQS1D900"/>
    <s v="PF3ZLQKX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3"/>
    <m/>
    <s v="戸張 隆太"/>
    <s v="r.tobari@frontier-mgmt.com"/>
    <s v="社員"/>
    <s v="梶野 智貴"/>
    <m/>
    <m/>
    <m/>
    <b v="1"/>
    <x v="2"/>
    <x v="13"/>
    <s v="SSD256GB"/>
    <s v="16GB"/>
    <s v="15597310"/>
    <s v="21BQS1D900"/>
    <s v="PF3ZL8BA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4"/>
    <m/>
    <m/>
    <m/>
    <s v="遊休"/>
    <s v="セン キンハーン&lt;木本 剛"/>
    <m/>
    <m/>
    <m/>
    <b v="1"/>
    <x v="5"/>
    <x v="13"/>
    <s v="SSD256GB"/>
    <s v="16GB"/>
    <s v="15597530"/>
    <s v="21BQS1D900"/>
    <s v="PF3ZLQKF"/>
    <s v="第39次"/>
    <d v="2023-05-31T15:00:00"/>
    <s v="ソフトバンクからレンタル"/>
    <x v="26"/>
    <s v="ソフトバンク"/>
    <m/>
    <m/>
    <m/>
    <s v="D23-352"/>
    <s v="KR4103910  "/>
    <m/>
    <m/>
    <s v="3,850"/>
    <m/>
    <m/>
    <s v="対応不要"/>
    <m/>
    <s v=""/>
    <s v=""/>
    <s v=""/>
    <s v=""/>
    <s v=""/>
    <m/>
    <s v="アイテム"/>
    <s v="sites/itsupport/Lists/PC Flight 4"/>
  </r>
  <r>
    <s v="FMIPC1455"/>
    <m/>
    <m/>
    <m/>
    <s v="遊休"/>
    <s v="沈 夏&lt;植村 健＜沖野 登史彦"/>
    <m/>
    <m/>
    <m/>
    <b v="1"/>
    <x v="5"/>
    <x v="13"/>
    <s v="SSD256GB"/>
    <s v="16GB"/>
    <s v="16089950"/>
    <s v="21BQS1D900"/>
    <s v="PF40PWY8"/>
    <s v="第40次"/>
    <d v="2023-06-06T15:00:00"/>
    <s v="ソフトバンクからレンタル,1559751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6"/>
    <m/>
    <s v="今川 直人"/>
    <s v="n.imagawa@frontier-mgmt.com"/>
    <s v="社員"/>
    <m/>
    <m/>
    <m/>
    <m/>
    <b v="1"/>
    <x v="2"/>
    <x v="13"/>
    <s v="SSD256GB"/>
    <s v="16GB"/>
    <s v="15597470"/>
    <s v="21BQS1D900"/>
    <s v="PF3YT7GW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7"/>
    <m/>
    <s v="侯 書遥"/>
    <s v="s.hou@frontier-mgmt.com"/>
    <s v="社員"/>
    <m/>
    <m/>
    <m/>
    <m/>
    <b v="1"/>
    <x v="2"/>
    <x v="13"/>
    <s v="SSD256GB"/>
    <s v="16GB"/>
    <s v="15597230"/>
    <s v="21BQS1D900"/>
    <s v="PF3YW62V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58"/>
    <m/>
    <m/>
    <m/>
    <s v="遊休"/>
    <s v="史 宇彤"/>
    <m/>
    <m/>
    <m/>
    <b v="1"/>
    <x v="5"/>
    <x v="13"/>
    <s v="SSD256GB"/>
    <s v="16GB"/>
    <s v="15597320"/>
    <s v="21BQS1D900"/>
    <s v="PF3YBQCX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59"/>
    <m/>
    <s v="征矢 多美子"/>
    <s v="t.soya@frontier-mgmt.com"/>
    <s v="外注"/>
    <s v="大川 賢吉＜関根 耀聡"/>
    <s v="SASANUMA Hiroki(笹沼)"/>
    <m/>
    <m/>
    <b v="1"/>
    <x v="2"/>
    <x v="13"/>
    <s v="SSD256GB"/>
    <s v="16GB"/>
    <s v="15597130"/>
    <s v="21BQS1D900"/>
    <s v="PF3YRMYS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t.soya@frontier-mgmt.com;#160"/>
    <s v="レジェンダコーポレーション;#160"/>
    <s v="征矢;#160"/>
    <s v="多美子;#160"/>
    <s v="人事採用業務支援;#160"/>
    <m/>
    <s v="アイテム"/>
    <s v="sites/itsupport/Lists/PC Flight 4"/>
  </r>
  <r>
    <s v="FMIPC1460"/>
    <m/>
    <s v="春名 慶彦"/>
    <s v="y.haruna@frontier-mgmt.com"/>
    <s v="社員"/>
    <s v="小澤 知子&lt;セン キンハーン"/>
    <m/>
    <m/>
    <m/>
    <b v="1"/>
    <x v="2"/>
    <x v="13"/>
    <s v="SSD256GB"/>
    <s v="16GB"/>
    <s v="16092350"/>
    <s v="21BQS1D900"/>
    <s v="PF40X6CH"/>
    <s v="第40次"/>
    <d v="2023-06-06T15:00:00"/>
    <s v="ソフトバンクからレンタル　1559741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1"/>
    <s v="FMIPC-bYsoDq4gf"/>
    <s v="松本 和大"/>
    <s v="ka.matsumoto@frontier-mgmt.com"/>
    <s v="社員"/>
    <s v="大西 恭平＜布施 虎次郎"/>
    <m/>
    <m/>
    <m/>
    <b v="1"/>
    <x v="2"/>
    <x v="13"/>
    <s v="SSD256GB"/>
    <s v="16GB"/>
    <s v="15618210"/>
    <s v="21BQS1D900"/>
    <s v="PF40Y2ZH"/>
    <s v="第40次"/>
    <d v="2023-06-06T15:00:00"/>
    <s v="ソフトバンクからレンタル 1559726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2"/>
    <m/>
    <m/>
    <m/>
    <s v="遊休"/>
    <s v="眞島 智樹"/>
    <m/>
    <m/>
    <m/>
    <b v="1"/>
    <x v="5"/>
    <x v="13"/>
    <s v="SSD256GB"/>
    <s v="16GB"/>
    <s v="15597270"/>
    <s v="21BQS1D900"/>
    <s v="PF3YBSKM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3"/>
    <m/>
    <s v="柳田 修宏"/>
    <s v="n.yanagita@frontier-mgmt.com"/>
    <s v="社員"/>
    <m/>
    <m/>
    <m/>
    <m/>
    <b v="1"/>
    <x v="2"/>
    <x v="13"/>
    <s v="SSD256GB"/>
    <s v="16GB"/>
    <s v="15597120"/>
    <s v="21BQS1D900"/>
    <s v="PF3ZLQK8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4"/>
    <m/>
    <m/>
    <m/>
    <s v="遊休"/>
    <s v="大槻 麻里菜"/>
    <m/>
    <m/>
    <m/>
    <b v="1"/>
    <x v="5"/>
    <x v="13"/>
    <s v="SSD256GB"/>
    <s v="16GB"/>
    <s v="15597290"/>
    <s v="21BQS1D900"/>
    <s v="PF3YTBZV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65"/>
    <s v="FMIPC-WVFpJLEs0"/>
    <s v="山川 寛之"/>
    <s v="h.yamakawa@frontier-mgmt.com"/>
    <s v="社員"/>
    <s v="堀籠 亘&lt;三澤 葵"/>
    <m/>
    <m/>
    <m/>
    <b v="1"/>
    <x v="2"/>
    <x v="13"/>
    <s v="SSD256GB"/>
    <s v="16GB"/>
    <s v="15676620"/>
    <s v="21BQS1D900"/>
    <s v="PF3ZLQN2"/>
    <s v="第40次"/>
    <d v="2023-06-06T15:00:00"/>
    <s v="ソフトバンクからレンタル 15597140の代替機"/>
    <x v="27"/>
    <s v="ソフトバンク"/>
    <m/>
    <m/>
    <m/>
    <s v="D23-353"/>
    <s v="KR4105003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466"/>
    <m/>
    <m/>
    <m/>
    <s v="遊休"/>
    <s v="平井 貴大"/>
    <m/>
    <m/>
    <m/>
    <b v="1"/>
    <x v="5"/>
    <x v="13"/>
    <s v="SSD256GB"/>
    <s v="16GB"/>
    <s v="15675980"/>
    <s v="21BQS1D900"/>
    <s v="PF3YDLJM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7"/>
    <m/>
    <m/>
    <m/>
    <s v="遊休"/>
    <s v="諸富 裕一＜小泉 佑介&lt;日高 理香"/>
    <m/>
    <m/>
    <m/>
    <b v="1"/>
    <x v="7"/>
    <x v="13"/>
    <s v="SSD256GB"/>
    <s v="16GB"/>
    <s v="15597160"/>
    <s v="21BQS1D900"/>
    <s v="PF3Y6EX2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68"/>
    <m/>
    <s v="大西 恭平"/>
    <s v="k.onishi@frontier-mgmt.com"/>
    <s v="社員"/>
    <s v="中西 祐二&lt;軽部 朋子&lt;石川 陽介"/>
    <m/>
    <m/>
    <m/>
    <b v="1"/>
    <x v="2"/>
    <x v="13"/>
    <s v="SSD256GB"/>
    <s v="16GB"/>
    <s v="15597100"/>
    <s v="21BQS1D900"/>
    <s v="PF3ZK33P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69"/>
    <m/>
    <s v="高辻 雄平"/>
    <s v="y.takatsuji@frontier-mgmt.com"/>
    <s v="外注"/>
    <s v="若松 陽"/>
    <s v="SASANUMA Hiroki(笹沼)"/>
    <m/>
    <m/>
    <b v="1"/>
    <x v="2"/>
    <x v="13"/>
    <s v="SSD256GB"/>
    <s v="16GB"/>
    <s v="15676680"/>
    <s v="21BQS1D900"/>
    <s v="PF3YW64M"/>
    <s v="第40次"/>
    <d v="2023-06-06T15:00:00"/>
    <s v="ソフトバンクからレンタル, 15597450の代替機"/>
    <x v="27"/>
    <s v="ソフトバンク"/>
    <m/>
    <m/>
    <m/>
    <s v="D23-353"/>
    <s v="KR4105003  "/>
    <m/>
    <m/>
    <s v="3,850"/>
    <m/>
    <m/>
    <s v="WSUS対応予定"/>
    <m/>
    <s v="y.takatsuji@frontier-mgmt,com;#100"/>
    <s v="レジェンダ・コーポレーション(株);#100"/>
    <s v="高辻;#100"/>
    <s v="雄平;#100"/>
    <s v="2025年新卒採用担当;#100"/>
    <m/>
    <s v="アイテム"/>
    <s v="sites/itsupport/Lists/PC Flight 4"/>
  </r>
  <r>
    <s v="FMIPC1470(Gen5)"/>
    <m/>
    <m/>
    <m/>
    <s v="遊休"/>
    <s v="藤井 俊也"/>
    <m/>
    <m/>
    <m/>
    <b v="1"/>
    <x v="5"/>
    <x v="13"/>
    <s v="SSD256GB"/>
    <s v="16GB"/>
    <s v="18946670"/>
    <s v="21BQS1D900"/>
    <s v="GM0VNV8M"/>
    <s v="第40次"/>
    <d v="2023-06-06T15:00:00"/>
    <s v="ソフトバンクからレンタル 15597520の代替品(Gen5)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71"/>
    <m/>
    <s v="手島 みちる"/>
    <s v="m.teshima@frontier-mgmt.com"/>
    <s v="社員"/>
    <m/>
    <m/>
    <m/>
    <m/>
    <b v="1"/>
    <x v="2"/>
    <x v="13"/>
    <s v="SSD256GB"/>
    <s v="16GB"/>
    <s v="15597220"/>
    <s v="21BQS1D900"/>
    <s v="PF3YR63M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72"/>
    <m/>
    <s v="及川 浩平"/>
    <s v="k.oikawa@frontier-mgmt.com"/>
    <s v="外注"/>
    <s v="軽部 朋子"/>
    <s v="SASANUMA Hiroki(笹沼)"/>
    <m/>
    <m/>
    <b v="1"/>
    <x v="2"/>
    <x v="13"/>
    <s v="SSD256GB"/>
    <s v="16GB"/>
    <s v="16006910"/>
    <s v="21BQS1D900"/>
    <s v="PF40T44K"/>
    <s v="第40次"/>
    <d v="2023-06-06T15:00:00"/>
    <s v="ソフトバンクからレンタル, 15597360の代替品"/>
    <x v="27"/>
    <s v="ソフトバンク"/>
    <m/>
    <m/>
    <m/>
    <s v="D23-353"/>
    <s v="KR4105003  "/>
    <m/>
    <m/>
    <s v="3,850"/>
    <m/>
    <m/>
    <s v="WSUS対応予定"/>
    <m/>
    <s v="k.oikawa@frontier-mgmt.com;#99"/>
    <s v="レジェンダ・コーポレーション(株);#99"/>
    <s v="及川;#99"/>
    <s v="浩平;#99"/>
    <s v="2025年新卒採用担当;#99"/>
    <m/>
    <s v="アイテム"/>
    <s v="sites/itsupport/Lists/PC Flight 4"/>
  </r>
  <r>
    <s v="FMIPC1473"/>
    <m/>
    <s v="陳さん（BYOD検証用）"/>
    <m/>
    <s v="特殊タスク"/>
    <s v="津久井 陸"/>
    <m/>
    <m/>
    <m/>
    <b v="1"/>
    <x v="2"/>
    <x v="13"/>
    <s v="SSD256GB"/>
    <s v="16GB"/>
    <s v="15597490"/>
    <s v="21BQS1D900"/>
    <s v="PF3YWJKF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s v="FMI;#FCI出向"/>
    <s v="アイテム"/>
    <s v="sites/itsupport/Lists/PC Flight 4"/>
  </r>
  <r>
    <s v="FMIPC1474"/>
    <m/>
    <s v="篠原 沙也香"/>
    <s v="s.shinohara@frontier-mgmt.com"/>
    <s v="社員"/>
    <m/>
    <m/>
    <m/>
    <m/>
    <b v="1"/>
    <x v="2"/>
    <x v="13"/>
    <s v="SSD256GB"/>
    <s v="16GB"/>
    <s v="15597500"/>
    <s v="21BQS1D900"/>
    <s v="PF3YC9RJ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475"/>
    <m/>
    <s v="森山 貴至"/>
    <s v="ta.moriyama@frontier-mgmt.com"/>
    <s v="社員"/>
    <s v="石塚 智之"/>
    <m/>
    <m/>
    <m/>
    <b v="1"/>
    <x v="2"/>
    <x v="13"/>
    <s v="SSD256GB"/>
    <s v="16GB"/>
    <s v="15597180"/>
    <s v="21BQS1D900"/>
    <s v="PF3Y6EXW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76"/>
    <m/>
    <s v="千葉 拓也"/>
    <s v="t.chiba@frontier-mgmt.com"/>
    <s v="社員"/>
    <m/>
    <m/>
    <m/>
    <m/>
    <b v="1"/>
    <x v="2"/>
    <x v="13"/>
    <s v="SSD256GB"/>
    <s v="16GB"/>
    <s v="15597150"/>
    <s v="21BQS1D900"/>
    <s v="PF3YBNFP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77"/>
    <m/>
    <s v="加藤 雅己"/>
    <s v="ma.kato@frontier-mgmt.com"/>
    <s v="社員"/>
    <s v="荒木 昇"/>
    <m/>
    <m/>
    <m/>
    <b v="1"/>
    <x v="2"/>
    <x v="13"/>
    <s v="SSD256GB"/>
    <s v="16GB"/>
    <s v="15597430"/>
    <s v="21BQS1D900"/>
    <s v="PF3YDNKS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78"/>
    <m/>
    <m/>
    <m/>
    <s v="遊休"/>
    <s v="藤田 晃市&lt;堀尾 賢太＜佐藤 光"/>
    <m/>
    <m/>
    <m/>
    <b v="1"/>
    <x v="5"/>
    <x v="13"/>
    <s v="SSD256GB"/>
    <s v="16GB"/>
    <s v="16050920"/>
    <s v="21BQS1D900"/>
    <s v="PF3YCGRN"/>
    <s v="第40次"/>
    <d v="2023-06-06T15:00:00"/>
    <s v="ソフトバンクからレンタル, 15675990の代替機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79"/>
    <s v="FMIPC-lkZtPw6IA"/>
    <s v="佐藤 宙夢"/>
    <m/>
    <s v="社員"/>
    <s v="今泉 浩&lt;梶谷 実子"/>
    <m/>
    <m/>
    <m/>
    <b v="1"/>
    <x v="2"/>
    <x v="13"/>
    <s v="SSD256GB"/>
    <s v="16GB"/>
    <s v="15597350"/>
    <s v="21BQS1D900"/>
    <s v="PF3YBYDV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0"/>
    <m/>
    <s v="五十嵐 幹直"/>
    <s v="m.ikarashi@frontier-mgmt.com"/>
    <s v="社員"/>
    <m/>
    <m/>
    <m/>
    <m/>
    <b v="1"/>
    <x v="2"/>
    <x v="13"/>
    <s v="SSD256GB"/>
    <s v="16GB"/>
    <s v="15597420"/>
    <s v="21BQS1D900"/>
    <s v="PF3YCLYZ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1"/>
    <m/>
    <s v="石橋 大地"/>
    <s v="d.ishibashi@frontier-mgmt.com"/>
    <s v="社員"/>
    <m/>
    <m/>
    <m/>
    <m/>
    <b v="1"/>
    <x v="2"/>
    <x v="13"/>
    <s v="SSD256GB"/>
    <s v="16GB"/>
    <s v="15597300"/>
    <s v="21BQS1D900"/>
    <s v="PF3ZLQLR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2"/>
    <m/>
    <s v="内藤　里実"/>
    <s v="r.naito@frontier-mgmt.com"/>
    <s v="社員"/>
    <s v="佐藤 円香&lt;永瀧 和貴"/>
    <m/>
    <m/>
    <m/>
    <b v="1"/>
    <x v="2"/>
    <x v="13"/>
    <s v="SSD256GB"/>
    <s v="16GB"/>
    <s v="15677100"/>
    <s v="21BQS1D900"/>
    <s v="PF3YT9S8"/>
    <s v="第40次"/>
    <d v="2023-06-06T15:00:00"/>
    <s v="ソフトバンクからレンタル 15597370の代替品"/>
    <x v="27"/>
    <s v="ソフトバンク"/>
    <m/>
    <m/>
    <m/>
    <s v="D23-353"/>
    <s v="KR4105003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483"/>
    <m/>
    <s v="淺野 英治"/>
    <s v="e.asano@frontier-mgmt.com"/>
    <s v="社員"/>
    <m/>
    <m/>
    <m/>
    <m/>
    <b v="1"/>
    <x v="2"/>
    <x v="13"/>
    <s v="SSD256GB"/>
    <s v="16GB"/>
    <s v="15597240"/>
    <s v="21BQS1D900"/>
    <s v="PF3YBW8S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4"/>
    <m/>
    <s v="庄司 一平"/>
    <s v="i.shoji@frontier-mgmt.com"/>
    <s v="外注"/>
    <s v="白石 浩二"/>
    <m/>
    <m/>
    <m/>
    <b v="1"/>
    <x v="2"/>
    <x v="13"/>
    <s v="SSD256GB"/>
    <s v="16GB"/>
    <s v="15597070"/>
    <s v="21BQS1D900"/>
    <s v="PF3ZLBK5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i.shoji@frontier-mgmt.com;#4"/>
    <s v="個人？;#4"/>
    <s v="庄司;#4"/>
    <s v="一平;#4"/>
    <s v="Diaz-G;#4"/>
    <m/>
    <s v="アイテム"/>
    <s v="sites/itsupport/Lists/PC Flight 4"/>
  </r>
  <r>
    <s v="FMIPC1485"/>
    <s v="FMIPC-0cOlaHDV3"/>
    <s v="上垣 宏貴"/>
    <s v="h.uegaki@frontier-mgmt.com"/>
    <s v="社員"/>
    <s v="藤森 涼惠"/>
    <m/>
    <m/>
    <m/>
    <b v="1"/>
    <x v="2"/>
    <x v="13"/>
    <s v="SSD256GB"/>
    <s v="16GB"/>
    <s v="15597280"/>
    <s v="21BQS1D900"/>
    <s v="PF3YBSHS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86"/>
    <m/>
    <s v="吉田 圭佑"/>
    <s v="ke.yoshida@frontier-mgmt.com"/>
    <s v="社員"/>
    <s v="清野 響&lt;坂本 和也"/>
    <m/>
    <m/>
    <m/>
    <b v="1"/>
    <x v="2"/>
    <x v="13"/>
    <s v="SSD256GB"/>
    <s v="16GB"/>
    <s v="15597250"/>
    <s v="21BQS1D900"/>
    <s v="PF3YDDPN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7"/>
    <m/>
    <s v="藤田 美沙子"/>
    <s v="m.fujita@frontier-mgmt.com"/>
    <s v="特殊タスク"/>
    <s v="横田 正俊&lt;安藤 大"/>
    <m/>
    <m/>
    <m/>
    <b v="1"/>
    <x v="2"/>
    <x v="13"/>
    <s v="SSD256GB"/>
    <s v="16GB"/>
    <s v="16046810"/>
    <s v="21BQS1D900"/>
    <s v="PF40WZEA"/>
    <s v="第40次"/>
    <d v="2023-06-06T15:00:00"/>
    <s v="ソフトバンクからレンタル 15597460の代替品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88"/>
    <m/>
    <m/>
    <m/>
    <s v="遊休"/>
    <s v="金 栄司"/>
    <m/>
    <m/>
    <m/>
    <b v="1"/>
    <x v="5"/>
    <x v="13"/>
    <s v="SSD256GB"/>
    <s v="16GB"/>
    <s v="16005600"/>
    <s v="21BQS1D900"/>
    <s v="PF40T8XS"/>
    <s v="第40次"/>
    <d v="2023-06-06T15:00:00"/>
    <s v="ソフトバンクからレンタル, 1559721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89"/>
    <m/>
    <s v="鶴田 悠"/>
    <s v="h.tsuruta@frontier-mgmt.com"/>
    <s v="社員"/>
    <m/>
    <m/>
    <m/>
    <m/>
    <b v="1"/>
    <x v="2"/>
    <x v="13"/>
    <s v="SSD256GB"/>
    <s v="16GB"/>
    <s v="16005590"/>
    <s v="21BQS1D900"/>
    <s v="PF40Q3RV"/>
    <s v="第40次"/>
    <d v="2023-06-06T15:00:00"/>
    <s v="ソフトバンクからレンタル, 1559706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0"/>
    <m/>
    <s v="小俣 将"/>
    <s v="s.omata@frontier-mgmt.com"/>
    <s v="社員"/>
    <m/>
    <m/>
    <m/>
    <m/>
    <b v="1"/>
    <x v="2"/>
    <x v="13"/>
    <s v="SSD256GB"/>
    <s v="16GB"/>
    <s v="15677200"/>
    <s v="21BQS1D900"/>
    <s v="PF3YCGSS"/>
    <s v="第40次"/>
    <d v="2023-06-06T15:00:00"/>
    <s v="ソフトバンクからレンタル, 1567600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1"/>
    <m/>
    <s v="永瀧 和貴"/>
    <s v="k.eitaki@frontier-mgmt.com"/>
    <s v="社員"/>
    <s v="上野 詩織"/>
    <m/>
    <m/>
    <m/>
    <b v="1"/>
    <x v="2"/>
    <x v="13"/>
    <s v="SSD256GB"/>
    <s v="16GB"/>
    <s v="15597090"/>
    <s v="21BQS1D900"/>
    <s v="PF3ZJWBY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2"/>
    <m/>
    <s v="臨時貸出・研修用PC"/>
    <m/>
    <s v="特殊タスク"/>
    <s v="日浦 健太郎&lt;水野 健人&lt;越智 卓也"/>
    <m/>
    <m/>
    <m/>
    <b v="1"/>
    <x v="2"/>
    <x v="13"/>
    <s v="SSD256GB"/>
    <s v="16GB"/>
    <s v="15596950"/>
    <s v="21BQS1D900"/>
    <s v="PF3YCC7C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493"/>
    <m/>
    <s v="渡辺 昂暉"/>
    <s v="k.watanabe@frontier-mgmt.com"/>
    <s v="社員"/>
    <s v="石河 直哉"/>
    <m/>
    <m/>
    <m/>
    <b v="1"/>
    <x v="2"/>
    <x v="13"/>
    <s v="SSD256GB"/>
    <s v="16GB"/>
    <s v="15677410"/>
    <s v="21BQS1D900"/>
    <s v="PF3ZKQRC"/>
    <s v="第40次"/>
    <d v="2023-06-06T15:00:00"/>
    <s v="ソフトバンクからレンタル 1559696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4"/>
    <m/>
    <s v="佐々木 勝俊"/>
    <s v="k.sasaki@frontier-mgmt.com"/>
    <s v="社員"/>
    <m/>
    <m/>
    <m/>
    <m/>
    <b v="1"/>
    <x v="2"/>
    <x v="13"/>
    <s v="SSD256GB"/>
    <s v="16GB"/>
    <s v="15597030"/>
    <s v="21BQS1D900"/>
    <s v="PF3YBYEF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5"/>
    <m/>
    <s v="久保田 一史"/>
    <s v="h.kubota@frontier-mgmt.com"/>
    <s v="社員"/>
    <m/>
    <m/>
    <m/>
    <m/>
    <b v="1"/>
    <x v="2"/>
    <x v="13"/>
    <s v="SSD256GB"/>
    <s v="16GB"/>
    <s v="15597830"/>
    <s v="21BQS1D900"/>
    <s v="PF3YR6CQ"/>
    <s v="第40次"/>
    <d v="2023-06-06T15:00:00"/>
    <s v="ソフトバンクからレンタル　1559702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6(Gen5)"/>
    <m/>
    <m/>
    <m/>
    <s v="遊休"/>
    <s v="上垣 宏貴"/>
    <m/>
    <m/>
    <m/>
    <b v="1"/>
    <x v="5"/>
    <x v="13"/>
    <s v="SSD256GB"/>
    <s v="16GB"/>
    <s v="18951110"/>
    <s v="21BQS1D900"/>
    <s v="GM0VRDYA"/>
    <s v="第40次"/>
    <d v="2023-06-06T15:00:00"/>
    <s v="ソフトバンクからレンタル 15597040の代替品(Gen5)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7"/>
    <m/>
    <s v="佐藤 宙夢"/>
    <s v="hir.sato@frontier-mgmt.com"/>
    <s v="社員"/>
    <m/>
    <m/>
    <m/>
    <m/>
    <b v="1"/>
    <x v="2"/>
    <x v="13"/>
    <s v="SSD256GB"/>
    <s v="16GB"/>
    <s v="15597000"/>
    <s v="21BQS1D900"/>
    <s v="PF3Y6EYQ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498"/>
    <s v="FMIPC-cl5eLUpJT"/>
    <s v="曺 太永"/>
    <s v="t.cho@frontier-mgmt.com"/>
    <s v="社員"/>
    <s v="片桐　秀樹&lt;黒部 麻由子"/>
    <m/>
    <m/>
    <m/>
    <b v="1"/>
    <x v="2"/>
    <x v="13"/>
    <s v="SSD256GB"/>
    <s v="16GB"/>
    <s v="15598730"/>
    <s v="21BQS1D900"/>
    <s v="PF3YBNGW"/>
    <s v="第40次"/>
    <d v="2023-06-06T15:00:00"/>
    <s v="ソフトバンクからレンタル　 15676490の代替品＜1559701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s v="FCI"/>
    <s v="アイテム"/>
    <s v="sites/itsupport/Lists/PC Flight 4"/>
  </r>
  <r>
    <s v="FMIPC1499"/>
    <s v="FMIPC-3r8WGWoPj"/>
    <s v="杉本 優太"/>
    <s v="y.sugimoto@frontier-mgmt.com"/>
    <s v="社員"/>
    <s v="山川 寛之＜金子 恵介"/>
    <m/>
    <m/>
    <m/>
    <b v="1"/>
    <x v="2"/>
    <x v="13"/>
    <s v="SSD256GB"/>
    <s v="16GB"/>
    <s v="15979970"/>
    <s v="21BQS1D900"/>
    <s v="PF3YBYHV"/>
    <s v="第40次"/>
    <d v="2023-06-06T15:00:00"/>
    <s v="ソフトバンクからレンタル 15596980の代替品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0"/>
    <m/>
    <m/>
    <m/>
    <s v="遊休"/>
    <s v="栗原 穂高"/>
    <m/>
    <m/>
    <m/>
    <b v="1"/>
    <x v="5"/>
    <x v="13"/>
    <s v="SSD256GB"/>
    <s v="16GB"/>
    <s v="15596970"/>
    <s v="21BQS1D900"/>
    <s v="PF3ZLV5J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対応不要"/>
    <m/>
    <s v=""/>
    <s v=""/>
    <s v=""/>
    <s v=""/>
    <s v=""/>
    <m/>
    <s v="アイテム"/>
    <s v="sites/itsupport/Lists/PC Flight 4"/>
  </r>
  <r>
    <s v="FMIPC1501"/>
    <m/>
    <s v="松沢 萌夏"/>
    <s v="m.matsuzawa@frontier-mgmt.com"/>
    <s v="社員"/>
    <m/>
    <m/>
    <m/>
    <m/>
    <b v="1"/>
    <x v="2"/>
    <x v="13"/>
    <s v="SSD256GB"/>
    <s v="16GB"/>
    <s v="15596920"/>
    <s v="21BQS1D900"/>
    <s v="PF3Y6CQ8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2"/>
    <m/>
    <m/>
    <m/>
    <s v="遊休"/>
    <s v="郡司 吉隆"/>
    <m/>
    <m/>
    <m/>
    <b v="1"/>
    <x v="5"/>
    <x v="13"/>
    <s v="SSD256GB"/>
    <s v="16GB"/>
    <s v="15596940"/>
    <s v="21BQS1D900"/>
    <s v="PF3ZLFT0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3"/>
    <m/>
    <s v="小西 貴之"/>
    <s v="t.konishi@frontier-mgmt.com"/>
    <s v="社員"/>
    <m/>
    <m/>
    <m/>
    <m/>
    <b v="1"/>
    <x v="2"/>
    <x v="13"/>
    <s v="SSD256GB"/>
    <s v="16GB"/>
    <s v="15596990"/>
    <s v="21BQS1D900"/>
    <s v="PF3ZJT11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4"/>
    <m/>
    <s v="入木田 一輝"/>
    <s v="k.irikida@frontier-mgmt.com"/>
    <s v="社員"/>
    <m/>
    <m/>
    <m/>
    <m/>
    <b v="1"/>
    <x v="2"/>
    <x v="13"/>
    <s v="SSD256GB"/>
    <s v="16GB"/>
    <s v="15596930"/>
    <s v="21BQS1D900"/>
    <s v="PF3ZLXJ8"/>
    <s v="第40次"/>
    <d v="2023-06-06T15:00:00"/>
    <s v="ソフトバンクからレンタル"/>
    <x v="27"/>
    <s v="ソフトバンク"/>
    <m/>
    <m/>
    <m/>
    <s v="D23-353"/>
    <s v="KR4105003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505"/>
    <m/>
    <m/>
    <m/>
    <s v="遊休"/>
    <s v="三原 圭介"/>
    <m/>
    <m/>
    <m/>
    <b v="1"/>
    <x v="5"/>
    <x v="13"/>
    <s v="SSD256GB"/>
    <s v="16GB"/>
    <s v="16005030"/>
    <s v="21BQS1D900"/>
    <s v="PF40T4GH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06"/>
    <m/>
    <s v="稲田 憲彦_臨時貸出・研修用PC"/>
    <m/>
    <s v="特殊タスク"/>
    <s v="堀川 峻"/>
    <m/>
    <m/>
    <m/>
    <b v="1"/>
    <x v="2"/>
    <x v="13"/>
    <s v="SSD256GB"/>
    <s v="16GB"/>
    <s v="16005300"/>
    <s v="21BQS1D900"/>
    <s v="PF40V1T3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07"/>
    <m/>
    <s v="笹本 将平"/>
    <s v="s.sasamoto@frontier-mgmt.com"/>
    <s v="社員"/>
    <m/>
    <m/>
    <m/>
    <m/>
    <b v="1"/>
    <x v="2"/>
    <x v="13"/>
    <s v="SSD256GB"/>
    <s v="16GB"/>
    <s v="16005270"/>
    <s v="21BQS1D900"/>
    <s v="PF40V1TE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8"/>
    <m/>
    <s v="高 資傑"/>
    <s v="t.kao@frontier-mgmt.com"/>
    <s v="社員"/>
    <s v="杉本 優太 &lt; 木下 益方"/>
    <m/>
    <m/>
    <m/>
    <b v="1"/>
    <x v="2"/>
    <x v="13"/>
    <s v="SSD256GB"/>
    <s v="16GB"/>
    <s v="16092470"/>
    <s v="21BQS1D900"/>
    <s v="PF40X1TB"/>
    <s v="第41次"/>
    <d v="2023-09-30T15:00:00"/>
    <s v="ソフトバンクからレンタル,16005060の代替機,15377280の代替機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09"/>
    <m/>
    <m/>
    <m/>
    <s v="遊休"/>
    <s v="沖野 登史彦&lt;安井 純平"/>
    <m/>
    <m/>
    <m/>
    <b v="1"/>
    <x v="5"/>
    <x v="13"/>
    <s v="SSD256GB"/>
    <s v="16GB"/>
    <s v="16005280"/>
    <s v="21BQS1D900"/>
    <s v="PF40Y0RJ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10"/>
    <m/>
    <m/>
    <m/>
    <s v="遊休"/>
    <s v="本間 稔常"/>
    <m/>
    <m/>
    <m/>
    <b v="1"/>
    <x v="5"/>
    <x v="13"/>
    <s v="SSD256GB"/>
    <s v="16GB"/>
    <s v="16005240"/>
    <s v="21BQS1D900"/>
    <s v="PF40V6AE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11"/>
    <s v="FMIPC-QyELICPSS"/>
    <s v="南野 圭吾"/>
    <s v="k.minamino@frontier-mgmt.com"/>
    <s v="社員"/>
    <s v="宮本 誠也"/>
    <m/>
    <m/>
    <m/>
    <b v="1"/>
    <x v="2"/>
    <x v="13"/>
    <s v="SSD256GB"/>
    <s v="16GB"/>
    <s v="16004650"/>
    <s v="21BQS1D900"/>
    <s v="PF40XARD"/>
    <s v="第41次"/>
    <d v="2023-09-30T15:00:00"/>
    <s v="ソフトバンクからレンタル　16005080の代替品"/>
    <x v="28"/>
    <s v="ソフトバンク"/>
    <m/>
    <m/>
    <m/>
    <s v="D23-685"/>
    <s v="KR4108648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512"/>
    <m/>
    <s v="鈴木 魁"/>
    <s v="k.suzuki@frontier-mgmt.com"/>
    <s v="社員"/>
    <m/>
    <m/>
    <m/>
    <m/>
    <b v="1"/>
    <x v="2"/>
    <x v="13"/>
    <s v="SSD256GB"/>
    <s v="16GB"/>
    <s v="16005220"/>
    <s v="21BQS1D900"/>
    <s v="PF40V69Y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13"/>
    <m/>
    <s v="山岸 典博"/>
    <s v="n.yamagishi@frontier-mgmt.com"/>
    <s v="社員"/>
    <m/>
    <m/>
    <m/>
    <m/>
    <b v="1"/>
    <x v="2"/>
    <x v="13"/>
    <s v="SSD256GB"/>
    <s v="16GB"/>
    <s v="16005120"/>
    <s v="21BQS1D900"/>
    <s v="PF40V1S4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14"/>
    <m/>
    <s v="西山 将平"/>
    <s v="sh.nishiyama@frontier-mgmt.com"/>
    <s v="社員"/>
    <m/>
    <m/>
    <m/>
    <m/>
    <b v="1"/>
    <x v="2"/>
    <x v="13"/>
    <s v="SSD256GB"/>
    <s v="16GB"/>
    <s v="16005190"/>
    <s v="21BQS1D900"/>
    <s v="PF40VMWE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15"/>
    <m/>
    <s v="田津原 燿子"/>
    <s v="y.tazuhara@frontier-mgmt.com"/>
    <s v="外注"/>
    <s v="青井 慎一"/>
    <s v="SASANUMA Hiroki(笹沼)"/>
    <m/>
    <m/>
    <b v="1"/>
    <x v="2"/>
    <x v="13"/>
    <s v="SSD256GB"/>
    <s v="16GB"/>
    <s v="16005100"/>
    <s v="21BQS1D900"/>
    <s v="PF40V6E2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y.tazuhara@frontier-mgmt.com;#159"/>
    <s v="レジェンダコーポレーション;#159"/>
    <s v="田津原;#159"/>
    <s v="燿子;#159"/>
    <s v="人事採用業務支援;#159"/>
    <m/>
    <s v="アイテム"/>
    <s v="sites/itsupport/Lists/PC Flight 4"/>
  </r>
  <r>
    <s v="FMIPC1516"/>
    <m/>
    <s v="小窪 昂志"/>
    <s v="t.kokubo@frontier-mgmt.com"/>
    <s v="社員"/>
    <m/>
    <m/>
    <m/>
    <m/>
    <b v="1"/>
    <x v="2"/>
    <x v="13"/>
    <s v="SSD256GB"/>
    <s v="16GB"/>
    <s v="16005160"/>
    <s v="21BQS1D900"/>
    <s v="PF40YTXN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17"/>
    <m/>
    <s v="鈴木 晴樹子"/>
    <s v="s.suzuki@frontier-mgmt.com"/>
    <s v="社員"/>
    <m/>
    <m/>
    <m/>
    <m/>
    <b v="1"/>
    <x v="2"/>
    <x v="13"/>
    <s v="SSD256GB"/>
    <s v="16GB"/>
    <s v="16005150"/>
    <s v="21BQS1D900"/>
    <s v="PF40PZ6H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18"/>
    <m/>
    <s v="藤巻 真以子"/>
    <s v="m.fujimaki@frontier-mgmt.com"/>
    <s v="社員"/>
    <m/>
    <m/>
    <m/>
    <m/>
    <b v="1"/>
    <x v="2"/>
    <x v="13"/>
    <s v="SSD256GB"/>
    <s v="16GB"/>
    <s v="16005130"/>
    <s v="21BQS1D900"/>
    <s v="PF40Z445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19"/>
    <m/>
    <m/>
    <m/>
    <s v="遊休"/>
    <s v="植村 健&lt;福田 涼子"/>
    <m/>
    <m/>
    <m/>
    <b v="1"/>
    <x v="5"/>
    <x v="13"/>
    <s v="SSD256GB"/>
    <s v="16GB"/>
    <s v="17484930"/>
    <s v="21EY-S7DM00"/>
    <s v="PF40PZ8M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20"/>
    <m/>
    <s v="谷口 伊織"/>
    <s v="i.yaguchi@frontier-mgmt.com"/>
    <s v="社員"/>
    <m/>
    <m/>
    <m/>
    <m/>
    <b v="1"/>
    <x v="2"/>
    <x v="13"/>
    <s v="SSD256GB"/>
    <s v="16GB"/>
    <s v="16005180"/>
    <s v="21BQS1D900"/>
    <s v="PF40VJP6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1"/>
    <m/>
    <s v="桝谷 峰旦"/>
    <s v="t.masutani@frontier-mgmt.com"/>
    <s v="社員"/>
    <m/>
    <m/>
    <m/>
    <m/>
    <b v="1"/>
    <x v="2"/>
    <x v="13"/>
    <s v="SSD256GB"/>
    <s v="16GB"/>
    <s v="16005050"/>
    <s v="21BQS1D900"/>
    <s v="PF40Q8BP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2"/>
    <s v="FMIPC-obIeOxqok"/>
    <m/>
    <m/>
    <s v="遊休"/>
    <s v="本島 祐太郎&lt;堀 優香"/>
    <m/>
    <m/>
    <m/>
    <b v="1"/>
    <x v="5"/>
    <x v="13"/>
    <s v="SSD256GB"/>
    <s v="16GB"/>
    <s v="16005070"/>
    <s v="21BQS1D900"/>
    <s v="PF40VJNG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3(Gen5)"/>
    <m/>
    <m/>
    <m/>
    <s v="遊休"/>
    <s v="佐藤 愛季"/>
    <m/>
    <m/>
    <m/>
    <b v="1"/>
    <x v="5"/>
    <x v="13"/>
    <s v="SSD256GB"/>
    <s v="16GB"/>
    <s v="18951120"/>
    <s v="21BQS1D900"/>
    <s v="GM0VRDYV"/>
    <s v="第41次"/>
    <d v="2023-09-30T15:00:00"/>
    <s v="ソフトバンクからレンタル 16005090の代替品(Gen5)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24"/>
    <m/>
    <m/>
    <m/>
    <s v="遊休"/>
    <s v="髙木 哲治"/>
    <m/>
    <m/>
    <m/>
    <b v="1"/>
    <x v="5"/>
    <x v="13"/>
    <s v="SSD256GB"/>
    <s v="16GB"/>
    <s v="16005110"/>
    <s v="21BQS1D900"/>
    <s v="PF40Q5WG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5(Gen4)"/>
    <m/>
    <m/>
    <m/>
    <s v="遊休"/>
    <s v="藤岡 飛鳥"/>
    <m/>
    <m/>
    <m/>
    <b v="1"/>
    <x v="5"/>
    <x v="13"/>
    <s v="SSD256GB"/>
    <s v="16GB"/>
    <s v="17059910"/>
    <s v="21BQS1D900"/>
    <s v="GM0FD79N"/>
    <s v="第41次"/>
    <d v="2023-09-30T15:00:00"/>
    <s v="ソフトバンクからレンタル 16005140の代替品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26"/>
    <m/>
    <s v="池田 勝敏"/>
    <s v="k.ikeda@frontier-mgmt.com"/>
    <s v="社員"/>
    <m/>
    <m/>
    <m/>
    <m/>
    <b v="1"/>
    <x v="2"/>
    <x v="13"/>
    <s v="SSD256GB"/>
    <s v="16GB"/>
    <s v="16005200"/>
    <s v="21BQS1D900"/>
    <s v="PF40V6CW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7"/>
    <m/>
    <s v="荒木 見潮"/>
    <s v="mi.araki@frontier-mgmt.com"/>
    <s v="外注"/>
    <s v="Widodo Alexius"/>
    <m/>
    <m/>
    <m/>
    <b v="1"/>
    <x v="2"/>
    <x v="13"/>
    <s v="SSD256GB"/>
    <s v="16GB"/>
    <s v="16005210"/>
    <s v="21BQS1D900"/>
    <s v="PF40T6V1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28"/>
    <m/>
    <s v="吉田 圭佑"/>
    <s v="ke.yoshida@frontier-mgmt.com"/>
    <s v="社員"/>
    <s v="髙橋 法夫"/>
    <m/>
    <m/>
    <m/>
    <b v="1"/>
    <x v="2"/>
    <x v="13"/>
    <s v="SSD256GB"/>
    <s v="16GB"/>
    <s v="16005290"/>
    <s v="21BQS1D900"/>
    <s v="PF40VMS6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29"/>
    <m/>
    <s v="奥山 昌幸"/>
    <s v="m.okuyama@frontier-mgmt.com"/>
    <s v="外注"/>
    <s v="宮藤 輝"/>
    <s v="UDA Kaori(宇田)"/>
    <m/>
    <m/>
    <b v="1"/>
    <x v="2"/>
    <x v="13"/>
    <s v="SSD256GB"/>
    <s v="16GB"/>
    <s v="15425740"/>
    <s v="21BQS1D900"/>
    <s v="PF3YRF8V"/>
    <s v="第41次"/>
    <d v="2023-09-30T15:00:00"/>
    <s v="ソフトバンクからレンタル,16005250の代替機"/>
    <x v="28"/>
    <s v="ソフトバンク"/>
    <m/>
    <m/>
    <m/>
    <s v="D23-685"/>
    <s v="KR4108648  "/>
    <m/>
    <m/>
    <s v="3,850"/>
    <m/>
    <m/>
    <s v="WSUS対応予定"/>
    <m/>
    <s v="m.okuyama@frontier-mgmt.com;#70"/>
    <s v="リスモンマッスルデータ;#70"/>
    <s v="奥山;#70"/>
    <s v="昌幸;#70"/>
    <s v="FMI、FCI反社チェック担当者;#70"/>
    <m/>
    <s v="アイテム"/>
    <s v="sites/itsupport/Lists/PC Flight 4"/>
  </r>
  <r>
    <s v="FMIPC1530"/>
    <m/>
    <s v="大西 恭平"/>
    <m/>
    <s v="社員"/>
    <s v="横井 貴（臨時雇用）&lt;本島 祐太郎"/>
    <m/>
    <m/>
    <m/>
    <b v="1"/>
    <x v="8"/>
    <x v="13"/>
    <s v="SSD256GB"/>
    <s v="16GB"/>
    <s v="16046610"/>
    <s v="21BQS1D900"/>
    <s v="PF40X1PJ"/>
    <s v="第41次"/>
    <d v="2023-09-30T15:00:00"/>
    <s v="ソフトバンクからレンタル 16005260の代替機"/>
    <x v="28"/>
    <s v="ソフトバンク"/>
    <m/>
    <m/>
    <m/>
    <s v="D23-685"/>
    <s v="KR4108648  "/>
    <m/>
    <m/>
    <s v="3,850"/>
    <m/>
    <m/>
    <s v="対応不要"/>
    <m/>
    <s v=""/>
    <s v=""/>
    <s v=""/>
    <s v=""/>
    <s v=""/>
    <m/>
    <s v="アイテム"/>
    <s v="sites/itsupport/Lists/PC Flight 4"/>
  </r>
  <r>
    <s v="FMIPC1531"/>
    <m/>
    <s v="仁平 洋亮"/>
    <s v="y.nihira@frontier-mgmt.com"/>
    <s v="社員"/>
    <s v="根井 千鶴"/>
    <m/>
    <m/>
    <m/>
    <b v="1"/>
    <x v="2"/>
    <x v="13"/>
    <s v="SSD256GB"/>
    <s v="16GB"/>
    <s v="16006070"/>
    <s v="21BQS1D900"/>
    <s v="PF3YT2PH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  <r>
    <s v="FMIPC1532"/>
    <s v="FMIPC-SQibTqI0M"/>
    <s v="吉田 恵佑"/>
    <s v="kei.yoshida@frontier-mgmt.com"/>
    <s v="外注"/>
    <s v="谷口 勇人&lt;平山 央"/>
    <s v="YOSHIDA Yuto(吉田 優斗)"/>
    <m/>
    <m/>
    <b v="1"/>
    <x v="2"/>
    <x v="13"/>
    <s v="SSD256GB"/>
    <s v="16GB"/>
    <s v="15377270"/>
    <s v="21BQS1D900"/>
    <s v="PF3YR60L"/>
    <s v="第41次"/>
    <d v="2023-09-30T15:00:00"/>
    <s v="ソフトバンクからレンタル,16005020の代替機"/>
    <x v="28"/>
    <s v="ソフトバンク"/>
    <m/>
    <m/>
    <m/>
    <s v="D23-685"/>
    <s v="KR4108648  "/>
    <m/>
    <m/>
    <s v="3,850"/>
    <m/>
    <m/>
    <s v="WSUS対応予定"/>
    <m/>
    <s v="kei.yoshida@frontier-mgmt.com;#166"/>
    <s v="株式会社ディープインパクト;#166"/>
    <s v="吉田;#166"/>
    <s v="恵佑;#166"/>
    <s v="経理外注;#166"/>
    <m/>
    <s v="アイテム"/>
    <s v="sites/itsupport/Lists/PC Flight 4"/>
  </r>
  <r>
    <s v="FMIPC1533(Gen5)"/>
    <m/>
    <m/>
    <m/>
    <s v="遊休"/>
    <s v="丹川 裕介"/>
    <m/>
    <m/>
    <m/>
    <b v="1"/>
    <x v="5"/>
    <x v="13"/>
    <s v="SSD256GB"/>
    <s v="16GB"/>
    <s v="18946680"/>
    <s v="21BQS1D900"/>
    <s v="GM0VNV70"/>
    <s v="第41次"/>
    <d v="2023-09-30T15:00:00"/>
    <s v="ソフトバンクからレンタル 16005010の代替品(Gen5)"/>
    <x v="28"/>
    <s v="ソフトバンク"/>
    <m/>
    <m/>
    <m/>
    <s v="D23-685"/>
    <s v="KR4108648  "/>
    <m/>
    <m/>
    <s v="3,850"/>
    <m/>
    <m/>
    <s v="その他（故障交換等で対応済）"/>
    <m/>
    <s v=""/>
    <s v=""/>
    <s v=""/>
    <s v=""/>
    <s v=""/>
    <m/>
    <s v="アイテム"/>
    <s v="sites/itsupport/Lists/PC Flight 4"/>
  </r>
  <r>
    <s v="FMIPC1534"/>
    <m/>
    <m/>
    <m/>
    <s v="遊休"/>
    <s v="青山 太郎"/>
    <m/>
    <m/>
    <m/>
    <b v="1"/>
    <x v="5"/>
    <x v="13"/>
    <s v="SSD256GB"/>
    <s v="16GB"/>
    <m/>
    <s v="21BQS1D900"/>
    <s v="PF40WEPA"/>
    <s v="第41次"/>
    <d v="2023-09-30T15:00:00"/>
    <s v="ソフトバンクからレンタル"/>
    <x v="28"/>
    <s v="ソフトバンク"/>
    <m/>
    <m/>
    <m/>
    <s v="D23-685"/>
    <s v="KR4108648  "/>
    <m/>
    <m/>
    <s v="3,850"/>
    <m/>
    <m/>
    <s v="WSUS対応予定"/>
    <m/>
    <s v=""/>
    <s v=""/>
    <s v=""/>
    <s v=""/>
    <s v=""/>
    <m/>
    <s v="アイテム"/>
    <s v="sites/itsupport/Lists/PC Flight 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776DD-A7C5-4BAE-8D5B-40521D2D7A12}" name="ピボットテーブル2" cacheId="4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B3:H18" firstHeaderRow="1" firstDataRow="2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0">
        <item x="8"/>
        <item x="2"/>
        <item x="5"/>
        <item x="1"/>
        <item x="0"/>
        <item x="4"/>
        <item x="3"/>
        <item x="7"/>
        <item x="6"/>
        <item t="default"/>
      </items>
    </pivotField>
    <pivotField axis="axisRow" showAll="0">
      <items count="18">
        <item x="11"/>
        <item x="10"/>
        <item x="0"/>
        <item x="4"/>
        <item x="7"/>
        <item x="5"/>
        <item x="6"/>
        <item x="15"/>
        <item x="3"/>
        <item x="13"/>
        <item x="16"/>
        <item x="12"/>
        <item x="2"/>
        <item x="1"/>
        <item x="8"/>
        <item x="1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h="1" x="1"/>
        <item h="1" x="4"/>
        <item h="1" x="3"/>
        <item h="1" x="2"/>
        <item h="1" x="5"/>
        <item h="1" x="6"/>
        <item h="1" x="7"/>
        <item h="1" x="8"/>
        <item h="1" x="13"/>
        <item h="1" x="9"/>
        <item h="1" x="10"/>
        <item h="1" x="11"/>
        <item h="1" x="12"/>
        <item h="1" x="18"/>
        <item h="1" x="14"/>
        <item h="1" x="15"/>
        <item h="1" x="16"/>
        <item h="1" x="17"/>
        <item h="1" x="21"/>
        <item h="1" x="20"/>
        <item h="1" x="22"/>
        <item h="1" x="19"/>
        <item h="1" x="23"/>
        <item h="1" x="24"/>
        <item x="25"/>
        <item x="26"/>
        <item x="27"/>
        <item x="28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x="1"/>
        <item sd="0" x="2"/>
        <item sd="0" x="3"/>
        <item x="4"/>
        <item x="5"/>
        <item x="6"/>
        <item sd="0" x="7"/>
        <item sd="0" x="8"/>
        <item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h="1" sd="0" x="0"/>
        <item h="1" sd="0" x="1"/>
        <item h="1" sd="0" x="2"/>
        <item h="1" sd="0" x="3"/>
        <item h="1" sd="0" x="4"/>
        <item x="5"/>
        <item h="1" sd="0" x="6"/>
        <item t="default"/>
      </items>
    </pivotField>
  </pivotFields>
  <rowFields count="4">
    <field x="44"/>
    <field x="42"/>
    <field x="20"/>
    <field x="11"/>
  </rowFields>
  <rowItems count="14">
    <i>
      <x v="5"/>
    </i>
    <i r="1">
      <x v="4"/>
    </i>
    <i r="2">
      <x v="24"/>
    </i>
    <i r="3">
      <x v="9"/>
    </i>
    <i r="1">
      <x v="5"/>
    </i>
    <i r="2">
      <x v="25"/>
    </i>
    <i r="3">
      <x v="9"/>
    </i>
    <i r="1">
      <x v="6"/>
    </i>
    <i r="2">
      <x v="26"/>
    </i>
    <i r="3">
      <x v="9"/>
    </i>
    <i r="1">
      <x v="9"/>
    </i>
    <i r="2">
      <x v="27"/>
    </i>
    <i r="3">
      <x v="9"/>
    </i>
    <i t="grand">
      <x/>
    </i>
  </rowItems>
  <colFields count="1">
    <field x="10"/>
  </colFields>
  <colItems count="6">
    <i>
      <x/>
    </i>
    <i>
      <x v="1"/>
    </i>
    <i>
      <x v="2"/>
    </i>
    <i>
      <x v="7"/>
    </i>
    <i>
      <x v="8"/>
    </i>
    <i t="grand">
      <x/>
    </i>
  </colItems>
  <dataFields count="1">
    <dataField name="個数 / ステータス" fld="10" subtotal="count" baseField="0" baseItem="0"/>
  </dataFields>
  <formats count="5">
    <format dxfId="0">
      <pivotArea outline="0" collapsedLevelsAreSubtotals="1" fieldPosition="0">
        <references count="1">
          <reference field="10" count="2" selected="0">
            <x v="0"/>
            <x v="1"/>
          </reference>
        </references>
      </pivotArea>
    </format>
    <format dxfId="1">
      <pivotArea dataOnly="0" labelOnly="1" fieldPosition="0">
        <references count="1">
          <reference field="10" count="2">
            <x v="0"/>
            <x v="1"/>
          </reference>
        </references>
      </pivotArea>
    </format>
    <format dxfId="2">
      <pivotArea collapsedLevelsAreSubtotals="1" fieldPosition="0">
        <references count="2">
          <reference field="10" count="1" selected="0">
            <x v="1"/>
          </reference>
          <reference field="44" count="0"/>
        </references>
      </pivotArea>
    </format>
    <format dxfId="3">
      <pivotArea collapsedLevelsAreSubtotals="1" fieldPosition="0">
        <references count="2">
          <reference field="10" count="1" selected="0">
            <x v="0"/>
          </reference>
          <reference field="44" count="0"/>
        </references>
      </pivotArea>
    </format>
    <format dxfId="4">
      <pivotArea collapsedLevelsAreSubtotals="1" fieldPosition="0">
        <references count="2">
          <reference field="10" count="1" selected="0">
            <x v="8"/>
          </reference>
          <reference field="4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5-11-19T16:20:46.17" personId="{71CC488A-A8C4-4A91-82FD-7D24FA133E59}" id="{B0A9739E-3C26-46E9-8381-6D8E83C3F619}">
    <text>年契約・・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dT="2024-08-22T05:39:59.58" personId="{71CC488A-A8C4-4A91-82FD-7D24FA133E59}" id="{8F3A8EED-0B40-4CC7-ACDB-A275A971043C}">
    <text>リプレース分はリプレース準備費用に含めている
200の根拠：入社予定者＋外注分＋バッファ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5" dT="2024-08-26T01:56:04.52" personId="{71CC488A-A8C4-4A91-82FD-7D24FA133E59}" id="{32B96E60-D6E9-4E0C-B03E-DEA1F57DD151}">
    <text>2024年10月から以下へ値上げ
基本料金：3,000→3,150
アカウント利用料金：80→84
2024年8月時点のアカウント利用料金の追加実績
2023年12月：1297
2024年8月：1595
より、年間約500で算出</text>
  </threadedComment>
  <threadedComment ref="L5" dT="2024-08-26T01:56:04.52" personId="{71CC488A-A8C4-4A91-82FD-7D24FA133E59}" id="{0AE9A774-ECA4-4644-B08C-7A76185850D1}">
    <text>2024年10月から以下へ値上げ
基本料金：3,000→3,150
アカウント利用料金：80→84
2024年8月時点のアカウント利用料金の追加実績
2023年12月：1297
2024年8月：1595
より、年間約500で算出</text>
  </threadedComment>
  <threadedComment ref="H29" dT="2024-08-26T01:56:04.52" personId="{71CC488A-A8C4-4A91-82FD-7D24FA133E59}" id="{FDC49DFE-E599-4E71-9CE5-2C13836CD505}">
    <text>2024年10月から以下へ値上げ
基本料金：3,000→3,150
アカウント利用料金：80→84
2024年8月時点のアカウント利用料金の追加実績
2023年12月：1297
2024年8月：1595
より、年間約500で算出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7" dT="2024-10-03T04:32:03.97" personId="{71CC488A-A8C4-4A91-82FD-7D24FA133E59}" id="{3EA53933-0710-4ED4-9F6A-C667607F3E61}">
    <text>参考URLから
OS:Pro
カメラ：IRカメラ対応
指紋：指紋対応
等に変更した場合のおおよその価格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20" dT="2024-08-20T02:42:35.30" personId="{71CC488A-A8C4-4A91-82FD-7D24FA133E59}" id="{D8E455CE-B36E-430A-941F-C7B80B9F3845}">
    <text>70から増えるようなら修正してください</text>
  </threadedComment>
  <threadedComment ref="D21" dT="2024-08-20T02:43:21.29" personId="{71CC488A-A8C4-4A91-82FD-7D24FA133E59}" id="{886F776E-7896-4008-A2EB-E81FB3B14907}">
    <text>数が変動するようなら、変更してください</text>
  </threadedComment>
  <threadedComment ref="E22" dT="2024-08-20T02:40:47.47" personId="{71CC488A-A8C4-4A91-82FD-7D24FA133E59}" id="{619CCF7E-2F0D-4ABE-B55B-4E0870292C10}">
    <text>現状のレンタル費用に上乗せしている
必要に応じて見直ししてください</text>
  </threadedComment>
  <threadedComment ref="G22" dT="2024-08-20T02:44:34.75" personId="{71CC488A-A8C4-4A91-82FD-7D24FA133E59}" id="{32658A9E-8D73-442F-9078-26D2C1E79A4A}">
    <text>念のため確認</text>
  </threadedComment>
  <threadedComment ref="D40" dT="2024-09-05T07:19:43.01" personId="{71CC488A-A8C4-4A91-82FD-7D24FA133E59}" id="{EB50D11F-9025-4571-B1F2-84F9F669DB9C}">
    <text>台数が増えるようなら変更してください</text>
  </threadedComment>
  <threadedComment ref="D41" dT="2024-09-05T07:20:02.84" personId="{71CC488A-A8C4-4A91-82FD-7D24FA133E59}" id="{1832F6AF-ACC5-410C-97AE-6D97AB06AB90}">
    <text>台数が増えるなら修正してください</text>
  </threadedComment>
  <threadedComment ref="D80" dT="2024-09-05T07:19:43.01" personId="{71CC488A-A8C4-4A91-82FD-7D24FA133E59}" id="{6A048EBF-4DCE-46D6-95B9-3C325B73B75F}">
    <text>台数が増えるようなら変更してください</text>
  </threadedComment>
  <threadedComment ref="D81" dT="2024-09-05T07:20:02.84" personId="{71CC488A-A8C4-4A91-82FD-7D24FA133E59}" id="{1273852C-201F-43CA-A365-AED923AC83D3}">
    <text>台数が増えるなら修正してください</text>
  </threadedComment>
  <threadedComment ref="D121" dT="2024-09-05T07:19:43.01" personId="{71CC488A-A8C4-4A91-82FD-7D24FA133E59}" id="{1451640C-D100-4143-B80E-398B31CB1017}">
    <text>台数が増えるようなら変更してください</text>
  </threadedComment>
  <threadedComment ref="D122" dT="2024-09-05T07:20:02.84" personId="{71CC488A-A8C4-4A91-82FD-7D24FA133E59}" id="{F02A201E-A7E9-4DE4-A898-80F761541D28}">
    <text>台数が増えるなら修正してください</text>
  </threadedComment>
  <threadedComment ref="E143" dT="2024-08-20T02:42:35.30" personId="{71CC488A-A8C4-4A91-82FD-7D24FA133E59}" id="{BB170C5C-2424-4BEC-B452-66B5BBFDBF22}">
    <text>70から増えるようなら修正してください</text>
  </threadedComment>
  <threadedComment ref="E144" dT="2024-08-20T02:43:21.29" personId="{71CC488A-A8C4-4A91-82FD-7D24FA133E59}" id="{5D85ED97-F2BF-4AC8-B4B8-D3D9464A6267}">
    <text>数が変動するようなら、変更してください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20" dT="2024-08-20T02:42:35.30" personId="{71CC488A-A8C4-4A91-82FD-7D24FA133E59}" id="{DA80BCB4-CF40-44C8-91D5-8DBEE2DC39B7}">
    <text>70から増えるようなら修正してください</text>
  </threadedComment>
  <threadedComment ref="D21" dT="2024-08-20T02:43:21.29" personId="{71CC488A-A8C4-4A91-82FD-7D24FA133E59}" id="{ABDDF5EA-180F-49CC-B63C-252BE6136641}">
    <text>数が変動するようなら、変更してください</text>
  </threadedComment>
  <threadedComment ref="E22" dT="2024-08-20T02:40:47.47" personId="{71CC488A-A8C4-4A91-82FD-7D24FA133E59}" id="{B544B822-2800-4B2F-A8FC-D75A2437763A}">
    <text>現状のレンタル費用に上乗せしている
必要に応じて見直ししてください</text>
  </threadedComment>
  <threadedComment ref="G22" dT="2024-08-20T02:44:34.75" personId="{71CC488A-A8C4-4A91-82FD-7D24FA133E59}" id="{A9F82336-1A28-417E-8EDE-B5BA5C1F972A}">
    <text>念のため確認</text>
  </threadedComment>
  <threadedComment ref="D40" dT="2024-09-05T07:19:43.01" personId="{71CC488A-A8C4-4A91-82FD-7D24FA133E59}" id="{2469B898-B768-4499-B205-53105E9444F7}">
    <text>台数が増えるようなら変更してください</text>
  </threadedComment>
  <threadedComment ref="D41" dT="2024-09-05T07:20:02.84" personId="{71CC488A-A8C4-4A91-82FD-7D24FA133E59}" id="{810352A1-C611-42C4-9D8B-CFFDDF95AE17}">
    <text>台数が増えるなら修正してください</text>
  </threadedComment>
  <threadedComment ref="D80" dT="2024-09-05T07:19:43.01" personId="{71CC488A-A8C4-4A91-82FD-7D24FA133E59}" id="{8DE16458-401F-4BA7-8347-10E13B23DD8B}">
    <text>台数が増えるようなら変更してください</text>
  </threadedComment>
  <threadedComment ref="D81" dT="2024-09-05T07:20:02.84" personId="{71CC488A-A8C4-4A91-82FD-7D24FA133E59}" id="{A8CA4B71-29AD-479E-BB9B-9144E12E6293}">
    <text>台数が増えるなら修正してください</text>
  </threadedComment>
  <threadedComment ref="D121" dT="2024-09-05T07:19:43.01" personId="{71CC488A-A8C4-4A91-82FD-7D24FA133E59}" id="{95811747-A71E-4BA3-AA8E-CF747D5865C4}">
    <text>台数が増えるようなら変更してください</text>
  </threadedComment>
  <threadedComment ref="D122" dT="2024-09-05T07:20:02.84" personId="{71CC488A-A8C4-4A91-82FD-7D24FA133E59}" id="{5DD5D0C7-58BC-49F6-BBF6-D23BFF60B770}">
    <text>台数が増えるなら修正してください</text>
  </threadedComment>
  <threadedComment ref="E143" dT="2024-08-20T02:42:35.30" personId="{71CC488A-A8C4-4A91-82FD-7D24FA133E59}" id="{CBC9CA9D-8EE9-4764-93E6-30D23F161881}">
    <text>70から増えるようなら修正してください</text>
  </threadedComment>
  <threadedComment ref="E144" dT="2024-08-20T02:43:21.29" personId="{71CC488A-A8C4-4A91-82FD-7D24FA133E59}" id="{D584EA71-C20D-449B-B77D-85ADD8E15227}">
    <text>数が変動するようなら、変更してください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3" dT="2024-09-05T05:08:03.38" personId="{71CC488A-A8C4-4A91-82FD-7D24FA133E59}" id="{BF01A3D4-B402-4831-84C1-2D41609EBB16}">
    <text>FCI：10
FMI：30（2024年度追加実績ベース）</text>
  </threadedComment>
  <threadedComment ref="D9" dT="2024-09-05T05:12:36.39" personId="{71CC488A-A8C4-4A91-82FD-7D24FA133E59}" id="{FEF4EF87-4DC0-4E28-A6E2-A16B9B25A7C5}">
    <text>10ライセンス当たり、79,300円</text>
  </threadedComment>
  <threadedComment ref="G9" dT="2024-09-05T05:12:36.39" personId="{71CC488A-A8C4-4A91-82FD-7D24FA133E59}" id="{13DFAE92-7543-4349-9E24-9A26B862ADCB}">
    <text>10ライセンス当たり、79,300円</text>
  </threadedComment>
  <threadedComment ref="D10" dT="2024-09-05T05:22:24.40" personId="{71CC488A-A8C4-4A91-82FD-7D24FA133E59}" id="{323F57B6-1B9B-4DDB-BBF5-047FEFEF5FE3}">
    <text xml:space="preserve">13ヶ月で15,300円
</text>
  </threadedComment>
  <threadedComment ref="G10" dT="2024-09-05T05:22:24.40" personId="{71CC488A-A8C4-4A91-82FD-7D24FA133E59}" id="{C38D6703-C4CA-47F5-AF86-B9E531CFA009}">
    <text xml:space="preserve">13ヶ月で15,300円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7" dT="2024-10-02T06:58:33.62" personId="{71CC488A-A8C4-4A91-82FD-7D24FA133E59}" id="{7A77D9B9-4ED7-4B47-8B5B-E756BB653B87}">
    <text>値上りを考慮して、2024年度の月額費用よりも多少多めに見ている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H7" dT="2024-10-02T06:58:33.62" personId="{71CC488A-A8C4-4A91-82FD-7D24FA133E59}" id="{F21CE850-DB30-4A26-9637-6A6931B851A0}">
    <text>値上りを考慮して、2024年度の月額費用よりも多少多めに見ている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I7" dT="2024-09-17T01:29:51.93" personId="{71CC488A-A8C4-4A91-82FD-7D24FA133E59}" id="{874D40E1-6759-42A9-BA77-B5843CDC2873}">
    <text>2025年契約更新時から価格改定予定（約10%）
各ライセンスごとに前回の金額から10%しています。
必要に応じて金額と数量の修正をお願いします</text>
  </threadedComment>
  <threadedComment ref="J10" dT="2024-09-17T02:01:48.00" personId="{71CC488A-A8C4-4A91-82FD-7D24FA133E59}" id="{F7289173-5EAC-4078-9909-A65B3415752A}">
    <text xml:space="preserve">既存の契約500に100追加する場合
</text>
  </threadedComment>
  <threadedComment ref="E19" dT="2024-09-17T01:29:51.93" personId="{71CC488A-A8C4-4A91-82FD-7D24FA133E59}" id="{2AFBAF80-FAD5-44C9-B364-2B67B1E8D6B8}">
    <text>2025年契約更新時から価格改定予定（約10%）
各ライセンスごとに前回の金額から10%しています。
必要に応じて金額と数量の修正をお願いします</text>
  </threadedComment>
  <threadedComment ref="I19" dT="2024-09-17T01:29:51.93" personId="{71CC488A-A8C4-4A91-82FD-7D24FA133E59}" id="{5EB5F229-D8D9-4F47-8793-B4231F904A13}">
    <text>2025年契約更新時から価格改定予定（約10%）
各ライセンスごとに前回の金額から10%しています。
必要に応じて金額と数量の修正をお願いします</text>
  </threadedComment>
  <threadedComment ref="I56" dT="2024-09-17T01:29:51.93" personId="{71CC488A-A8C4-4A91-82FD-7D24FA133E59}" id="{54AB9399-E36C-495A-B25A-20AABFB74CCD}">
    <text>2025年契約更新時から価格改定予定（約10%）
各ライセンスごとに前回の金額から10%しています。
必要に応じて金額と数量の修正をお願いします</text>
  </threadedComment>
  <threadedComment ref="J59" dT="2024-09-17T02:01:48.00" personId="{71CC488A-A8C4-4A91-82FD-7D24FA133E59}" id="{FD7FDE08-67D6-49E4-905E-AFC0C0CC1DB8}">
    <text xml:space="preserve">既存の契約500に100追加する場合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17" dT="2024-08-26T00:47:35.32" personId="{71CC488A-A8C4-4A91-82FD-7D24FA133E59}" id="{528D3912-9303-4636-9940-6500CECB6D4C}">
    <text>2024年度と同額</text>
  </threadedComment>
  <threadedComment ref="I25" dT="2024-10-02T07:05:19.31" personId="{71CC488A-A8C4-4A91-82FD-7D24FA133E59}" id="{45FBB892-A5C7-4E5D-91FB-0DA4CD03BB1F}">
    <text>月額費用をきりがいい金額にして、17万になっています</text>
  </threadedComment>
  <threadedComment ref="F58" dT="2024-08-26T00:47:35.32" personId="{71CC488A-A8C4-4A91-82FD-7D24FA133E59}" id="{75B72FB6-F605-45FF-886B-090DE4832801}">
    <text>2024年度と同額</text>
  </threadedComment>
  <threadedComment ref="I66" dT="2024-10-02T07:05:19.31" personId="{71CC488A-A8C4-4A91-82FD-7D24FA133E59}" id="{CA168E05-4A9D-4EA0-878B-1BE3A877B690}">
    <text>月額費用をきりがいい金額にして、17万になっています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H7" dT="2024-10-02T07:14:26.35" personId="{71CC488A-A8C4-4A91-82FD-7D24FA133E59}" id="{8B896872-4AAB-4D51-9704-45760FA21B44}">
    <text>2023年～2024年の月額費用が2000円増のため、バッファをみて、月額82万にしている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D6" dT="2024-08-22T07:19:50.85" personId="{71CC488A-A8C4-4A91-82FD-7D24FA133E59}" id="{4FEBDAC6-A92B-4FA9-A3DC-4005B5C33D25}">
    <text>前年*1.2倍している</text>
  </threadedComment>
  <threadedComment ref="D8" dT="2024-10-02T07:15:33.54" personId="{71CC488A-A8C4-4A91-82FD-7D24FA133E59}" id="{83917F75-EF18-46F2-87F5-FCAF10158C43}">
    <text>きりがいい数字を月額予算にてしている</text>
  </threadedComment>
  <threadedComment ref="E8" dT="2025-11-14T07:59:37.33" personId="{71CC488A-A8C4-4A91-82FD-7D24FA133E59}" id="{E31A3EDA-707B-4018-9E2A-B80C6BD1B867}">
    <text xml:space="preserve">9月以降は1.1倍で予算化
</text>
  </threadedComment>
  <threadedComment ref="C21" dT="2023-09-20T02:24:01.32" personId="{71CC488A-A8C4-4A91-82FD-7D24FA133E59}" id="{3D4EF6B0-60C9-4235-B11E-38C600824057}">
    <text>値上がり予定
×1.2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I4" dT="2024-08-29T04:33:59.33" personId="{71CC488A-A8C4-4A91-82FD-7D24FA133E59}" id="{E869982A-EA52-42AA-8F6C-32E149DA044D}">
    <text>AcrobatSTD2020のサポートが2025年6月1日にサポート終了するため、サブスク版で予算を計上</text>
  </threadedComment>
  <threadedComment ref="L8" dT="2024-10-02T07:17:37.54" personId="{71CC488A-A8C4-4A91-82FD-7D24FA133E59}" id="{E00D06E7-92D9-4ECF-A3CC-6A068266D97F}">
    <text>きりのいい数字を月額費用として計上</text>
  </threadedComment>
  <threadedComment ref="I25" dT="2024-08-29T04:33:59.33" personId="{71CC488A-A8C4-4A91-82FD-7D24FA133E59}" id="{5F4B64C4-8A40-43EF-B238-EE459C635727}">
    <text>AcrobatSTD2020のサポートが2025年6月1日にサポート終了するため、サブスク版で予算を計上</text>
  </threadedComment>
  <threadedComment ref="L29" dT="2024-10-02T07:17:37.54" personId="{71CC488A-A8C4-4A91-82FD-7D24FA133E59}" id="{AD8D3C07-77E0-4E9C-9528-726F5B4CC528}">
    <text>きりのいい数字を月額費用として計上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22" dT="2024-08-23T04:39:29.45" personId="{71CC488A-A8C4-4A91-82FD-7D24FA133E59}" id="{B8AEB0B8-E23F-42AE-8BAD-41919FCDF274}">
    <text>2024/8/26
リコーから更新後の単価受領</text>
  </threadedComment>
  <threadedComment ref="N25" dT="2024-08-23T04:39:29.45" personId="{71CC488A-A8C4-4A91-82FD-7D24FA133E59}" id="{1792C790-89FD-4C34-A032-411AFC828B3D}">
    <text>2024/8/26
リコーから更新後の単価受領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I8" dT="2024-08-23T04:39:29.45" personId="{71CC488A-A8C4-4A91-82FD-7D24FA133E59}" id="{2B724465-CC25-4339-8B20-B88C4F1D9F58}">
    <text>2024/8/26
リコーから更新後の単価受領</text>
  </threadedComment>
  <threadedComment ref="J8" dT="2024-08-26T00:35:54.71" personId="{71CC488A-A8C4-4A91-82FD-7D24FA133E59}" id="{83611DEE-D936-4224-94EE-F62622D1CBAD}">
    <text>プラス1した5でとりあえず予算化</text>
  </threadedComment>
  <threadedComment ref="O8" dT="2025-11-14T07:37:37.63" personId="{71CC488A-A8C4-4A91-82FD-7D24FA133E59}" id="{E1A1498F-D1D1-491D-92C5-2FCCEAA94799}">
    <text>プラス1した5でとりあえず予算化</text>
  </threadedComment>
  <threadedComment ref="L9" dT="2024-10-02T07:26:12.71" personId="{71CC488A-A8C4-4A91-82FD-7D24FA133E59}" id="{B0428709-6995-4939-8531-B01EFB477AAD}">
    <text>切りのいい数字で予算化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I8" dT="2024-08-23T04:39:29.45" personId="{71CC488A-A8C4-4A91-82FD-7D24FA133E59}" id="{5E8AA32E-C58F-4224-9EB6-542071925B95}">
    <text>2024/8/26
リコーから更新後の単価受領</text>
  </threadedComment>
  <threadedComment ref="J8" dT="2024-08-26T00:35:54.71" personId="{71CC488A-A8C4-4A91-82FD-7D24FA133E59}" id="{43DECC2A-51FE-49F5-9CC1-05B7576645CA}">
    <text>プラス15した30でとりあえず予算化</text>
  </threadedComment>
  <threadedComment ref="D15" dT="2024-08-23T04:39:29.45" personId="{71CC488A-A8C4-4A91-82FD-7D24FA133E59}" id="{043F2581-7668-43FF-A21F-C4B2CBFC2AD5}">
    <text>2024/8/26
リコーから更新後の単価受領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I8" dT="2024-08-23T04:39:29.45" personId="{71CC488A-A8C4-4A91-82FD-7D24FA133E59}" id="{1313D39C-BC93-46AA-9DD3-E520968027FD}">
    <text xml:space="preserve">2024年度の1.2倍
</text>
  </threadedComment>
  <threadedComment ref="L9" dT="2024-10-02T07:27:42.11" personId="{71CC488A-A8C4-4A91-82FD-7D24FA133E59}" id="{63616785-9ACC-436F-BB5A-0FAD3A830D4D}">
    <text>切りのいい数字で予算化</text>
  </threadedComment>
  <threadedComment ref="D16" dT="2024-08-23T04:39:29.45" personId="{71CC488A-A8C4-4A91-82FD-7D24FA133E59}" id="{63F74660-F0D8-4070-A883-0EC4A138B13E}">
    <text>2024/8/26
リコーから更新後の単価受領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8" dT="2024-08-23T04:39:29.45" personId="{71CC488A-A8C4-4A91-82FD-7D24FA133E59}" id="{CED5DC40-82B1-4FC0-8899-CAC85BB4E25B}">
    <text xml:space="preserve">2024年度の1.2倍
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8" dT="2024-08-23T04:39:29.45" personId="{71CC488A-A8C4-4A91-82FD-7D24FA133E59}" id="{93B1FBA8-4997-4D5D-8CE3-084B3DA93480}">
    <text>2024/8/26
リコーから更新後の単価受領</text>
  </threadedComment>
  <threadedComment ref="J9" dT="2024-10-02T07:29:12.12" personId="{71CC488A-A8C4-4A91-82FD-7D24FA133E59}" id="{963B41D7-96A2-4604-8C18-CDCC3F13A895}">
    <text>切りのいい数字で予算化</text>
  </threadedComment>
  <threadedComment ref="C27" dT="2023-09-20T02:24:01.32" personId="{71CC488A-A8C4-4A91-82FD-7D24FA133E59}" id="{1CD33B2A-A28E-4CA7-84AF-DEE7FEADA52B}">
    <text>値上がり予定
×1.2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I8" dT="2024-08-23T04:39:29.45" personId="{71CC488A-A8C4-4A91-82FD-7D24FA133E59}" id="{F0C84244-57C4-46A4-A164-ADDE835F0621}">
    <text>2024/8/26
リコーから更新後の単価受領</text>
  </threadedComment>
  <threadedComment ref="L9" dT="2024-10-02T07:29:12.12" personId="{71CC488A-A8C4-4A91-82FD-7D24FA133E59}" id="{6277B6E2-3CEB-4194-AE50-6CF5DC65E864}">
    <text>切りのいい数字で予算化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C35" dT="2023-09-20T02:24:01.32" personId="{71CC488A-A8C4-4A91-82FD-7D24FA133E59}" id="{1A2CD52C-E65D-4CDD-9325-0922094C7DF2}">
    <text>値上がり予定
×1.2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G6" dT="2024-10-02T07:38:42.90" personId="{71CC488A-A8C4-4A91-82FD-7D24FA133E59}" id="{2F5079AE-AF24-4AA2-BD55-D7F2C849DAB3}">
    <text>前年と同額で行ったに予算化
Sansanから見積が来たら修正</text>
  </threadedComment>
  <threadedComment ref="I6" dT="2024-10-02T07:38:42.90" personId="{71CC488A-A8C4-4A91-82FD-7D24FA133E59}" id="{F731D17B-A8DE-40B8-8406-95D01C92E761}">
    <text>前年と同額で行ったに予算化
Sansanから見積が来たら修正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C45" dT="2023-09-20T02:24:01.32" personId="{71CC488A-A8C4-4A91-82FD-7D24FA133E59}" id="{BF52A623-F96B-4688-84D3-90C87995A95E}">
    <text>値上がり予定
×1.2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C57" dT="2023-09-20T02:24:01.32" personId="{71CC488A-A8C4-4A91-82FD-7D24FA133E59}" id="{6196498E-2DF4-4AE3-B4D5-2AC957EC8285}">
    <text>値上がり予定
×1.2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C41" dT="2023-09-20T02:24:01.32" personId="{71CC488A-A8C4-4A91-82FD-7D24FA133E59}" id="{A9953811-0584-4034-814F-A009BDAEF51A}">
    <text>値上がり予定
×1.2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D4" dT="2024-08-22T06:45:05.24" personId="{71CC488A-A8C4-4A91-82FD-7D24FA133E59}" id="{C4AC2C49-FAD1-46CB-A9C0-32292263355A}">
    <text>8/22時点
490だけど、追加の可能性を考慮して10プラスしている</text>
  </threadedComment>
  <threadedComment ref="F22" dT="2025-11-19T06:55:05.39" personId="{71CC488A-A8C4-4A91-82FD-7D24FA133E59}" id="{EAD528C3-D31B-4A4C-975F-FBB898AB76B5}">
    <text>10ライセンス追加</text>
  </threadedComment>
  <threadedComment ref="G22" dT="2025-11-19T06:54:46.31" personId="{71CC488A-A8C4-4A91-82FD-7D24FA133E59}" id="{A71679A9-BA69-4EE7-BCCA-AFFF8BCB22DE}">
    <text>10ライセンス追加</text>
  </threadedComment>
  <threadedComment ref="C58" dT="2023-09-20T02:24:01.32" personId="{71CC488A-A8C4-4A91-82FD-7D24FA133E59}" id="{ABA29E91-C209-4478-A152-A7ADC3239984}">
    <text>値上がり予定
×1.2</text>
  </threadedComment>
  <threadedComment ref="D69" dT="2024-08-22T06:45:05.24" personId="{71CC488A-A8C4-4A91-82FD-7D24FA133E59}" id="{8C76B06D-F248-4828-9A9E-BE2FD1CC359A}">
    <text>8/22時点
490だけど、追加の可能性を考慮して10プラスしている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C4" dT="2024-08-22T05:43:47.72" personId="{71CC488A-A8C4-4A91-82FD-7D24FA133E59}" id="{6AF70CCF-9F8C-421E-B4B5-63FAD3B72CB8}">
    <text>550の根拠：既存ライセンス数＋入社予定者数＋バッファ</text>
  </threadedComment>
  <threadedComment ref="B10" dT="2024-08-29T04:26:35.03" personId="{71CC488A-A8C4-4A91-82FD-7D24FA133E59}" id="{4253DDDA-FEE1-4D96-A851-ECFC1AE21F99}">
    <text>社員のみ</text>
  </threadedComment>
  <threadedComment ref="C38" dT="2024-08-22T05:43:47.72" personId="{71CC488A-A8C4-4A91-82FD-7D24FA133E59}" id="{85BFB214-50CB-42DC-8043-F91D63420423}">
    <text>550の根拠：既存ライセンス数＋入社予定者数＋バッファ</text>
  </threadedComment>
  <threadedComment ref="B42" dT="2024-08-29T04:26:35.03" personId="{71CC488A-A8C4-4A91-82FD-7D24FA133E59}" id="{00A2AD7B-A212-40DD-B951-0C6894EFE9FD}">
    <text>社員のみ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F35" dT="2025-11-18T15:23:07.24" personId="{71CC488A-A8C4-4A91-82FD-7D24FA133E59}" id="{0F235F6F-84EB-45CD-9050-8E2F63CB327C}">
    <text>マーケ＋アシスタント一部
情報システム部は？</text>
  </threadedComment>
  <threadedComment ref="I35" dT="2025-11-18T15:22:48.25" personId="{71CC488A-A8C4-4A91-82FD-7D24FA133E59}" id="{1FF302FF-C780-4D24-AE66-437F5E892150}">
    <text>ライセンス最適化後はSDupになる
情報システム＋バックオフィスも必要なのかと？</text>
  </threadedComment>
  <threadedComment ref="G40" dT="2025-11-18T15:24:33.66" personId="{71CC488A-A8C4-4A91-82FD-7D24FA133E59}" id="{1048C097-2A98-4402-889D-FECEF6B4D7FB}">
    <text>マーケ分を想定</text>
  </threadedComment>
  <threadedComment ref="J40" dT="2025-11-18T15:24:16.03" personId="{71CC488A-A8C4-4A91-82FD-7D24FA133E59}" id="{663952CE-31FE-4C08-AE09-DDB24F9496AA}">
    <text>入社：10
昇格：10</text>
  </threadedComment>
  <threadedComment ref="E48" dT="2025-11-18T15:30:50.15" personId="{71CC488A-A8C4-4A91-82FD-7D24FA133E59}" id="{00057886-60DC-4F24-B938-B3CEEC646F63}">
    <text>契約更新で単価400円弱UP
9,136→9,593</text>
  </threadedComment>
  <threadedComment ref="S48" dT="2024-08-29T02:45:58.95" personId="{71CC488A-A8C4-4A91-82FD-7D24FA133E59}" id="{B93DE091-7266-4881-AB64-34B1DBF5F8FA}">
    <text>次回更新時に値上の可能性もあるため
7,623×1.2</text>
  </threadedComment>
  <threadedComment ref="Y48" dT="2024-08-29T02:45:58.95" personId="{71CC488A-A8C4-4A91-82FD-7D24FA133E59}" id="{2E352B07-3A26-4265-875A-C20812B5FEB9}">
    <text>次回更新時に値上の可能性もあるため
7,623×1.2</text>
  </threadedComment>
  <threadedComment ref="T55" dT="2024-08-29T04:23:11.76" personId="{71CC488A-A8C4-4A91-82FD-7D24FA133E59}" id="{8F5D05B2-E714-4D4C-BDCF-D5B3C309FB67}">
    <text>データバースの容量は必要に必要に応じて追加</text>
  </threadedComment>
  <threadedComment ref="Z55" dT="2024-08-29T04:23:11.76" personId="{71CC488A-A8C4-4A91-82FD-7D24FA133E59}" id="{82ADB35D-2F97-4D6D-B2F0-3F16F6E0A599}">
    <text>データバースの容量は必要に必要に応じて追加</text>
  </threadedComment>
  <threadedComment ref="T56" dT="2024-08-29T04:23:11.76" personId="{71CC488A-A8C4-4A91-82FD-7D24FA133E59}" id="{3C41691A-BE02-49F2-B85E-0999F76685FD}">
    <text>データバースの容量は必要に必要に応じて追加</text>
  </threadedComment>
  <threadedComment ref="Z56" dT="2024-08-29T04:23:11.76" personId="{71CC488A-A8C4-4A91-82FD-7D24FA133E59}" id="{5446B6D5-B9A9-40C4-8C02-E564CC63690E}">
    <text>データバースの容量は必要に必要に応じて追加</text>
  </threadedComment>
  <threadedComment ref="H73" dT="2025-11-25T06:35:17.87" personId="{71CC488A-A8C4-4A91-82FD-7D24FA133E59}" id="{DB0CE924-A3AC-45AD-A327-5FE73FA33856}">
    <text>システム活用を想定+1</text>
  </threadedComment>
  <threadedComment ref="M73" dT="2025-12-02T06:05:17.27" personId="{71CC488A-A8C4-4A91-82FD-7D24FA133E59}" id="{92966F61-A8DF-49C8-9E6F-66854CD5C551}">
    <text>システム活用を想定し+1</text>
  </threadedComment>
  <threadedComment ref="E74" dT="2025-11-18T15:30:50.15" personId="{71CC488A-A8C4-4A91-82FD-7D24FA133E59}" id="{DA53184A-571D-4487-96FE-C5970B434F9C}">
    <text>契約更新で単価400円弱UP
9,136→9,593</text>
  </threadedComment>
  <threadedComment ref="M75" dT="2025-11-18T15:50:27.12" personId="{71CC488A-A8C4-4A91-82FD-7D24FA133E59}" id="{D1F90F6F-56EE-4874-961B-9685C8C691FC}">
    <text>8/1で解約</text>
  </threadedComment>
  <threadedComment ref="F81" dT="2025-11-25T06:14:56.80" personId="{71CC488A-A8C4-4A91-82FD-7D24FA133E59}" id="{3062D3BA-BBB0-4227-9600-CCD59EF0DBC8}">
    <text>＋10バッファ</text>
  </threadedComment>
  <threadedComment ref="H81" dT="2025-11-25T06:30:43.08" personId="{71CC488A-A8C4-4A91-82FD-7D24FA133E59}" id="{5F0DCCD1-D70D-4330-AA87-30AC7DB25516}">
    <text>+5を追加予定</text>
  </threadedComment>
  <threadedComment ref="M81" dT="2025-11-25T06:33:32.26" personId="{71CC488A-A8C4-4A91-82FD-7D24FA133E59}" id="{3A7DA74C-4038-4ABA-AA3A-09996D24AFFB}">
    <text>＋5ライセンス追加</text>
  </threadedComment>
  <threadedComment ref="N81" dT="2025-11-25T06:33:44.27" personId="{71CC488A-A8C4-4A91-82FD-7D24FA133E59}" id="{ED5E232A-542C-43F8-9EF8-460BD7963428}">
    <text>8/1解約分を追加</text>
  </threadedComment>
  <threadedComment ref="M86" dT="2025-11-18T16:03:35.46" personId="{71CC488A-A8C4-4A91-82FD-7D24FA133E59}" id="{BA39C39B-7CC1-4F33-A85C-987B9F1BB55F}">
    <text>契約更新で5%値上を想定</text>
  </threadedComment>
  <threadedComment ref="J88" dT="2025-11-18T16:05:22.00" personId="{71CC488A-A8C4-4A91-82FD-7D24FA133E59}" id="{8DD0C994-9E0D-43AB-9085-C05AFB5FCC55}">
    <text>契約更新で5%値上げを想定</text>
  </threadedComment>
  <threadedComment ref="K89" dT="2025-11-18T16:08:49.58" personId="{71CC488A-A8C4-4A91-82FD-7D24FA133E59}" id="{E45D8362-9364-4716-9710-80783390C4D0}">
    <text>契約更新で約5%の値上げを想定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F6" dT="2024-10-02T07:56:30.64" personId="{71CC488A-A8C4-4A91-82FD-7D24FA133E59}" id="{0388E7EA-E791-4A3B-8FA5-C2BCC1E6AD4F}">
    <text>2024年度と同額で一旦予算化</text>
  </threadedComment>
  <threadedComment ref="H6" dT="2024-10-02T07:56:30.64" personId="{71CC488A-A8C4-4A91-82FD-7D24FA133E59}" id="{F74289AF-3F48-4048-8939-C1A9C05FD286}">
    <text>2024年度と同額で一旦予算化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J19" dT="2024-09-17T02:18:51.46" personId="{71CC488A-A8C4-4A91-82FD-7D24FA133E59}" id="{2031426C-CD2E-425E-932E-F41D38FAA771}">
    <text xml:space="preserve">1枚当たり310円
2024年9月17日現在
残：156枚
2025年3月までの期限切れ枚数：61枚
上記プラス入社者、バッファーを考慮して4月に400枚追加する計画
※4月に追加する場合は3月に要発注
</text>
  </threadedComment>
  <threadedComment ref="J24" dT="2024-09-17T02:18:51.46" personId="{71CC488A-A8C4-4A91-82FD-7D24FA133E59}" id="{C29C41DC-E9AA-48D0-A83B-7EEA4C333596}">
    <text xml:space="preserve">1枚当たり310円
2024年9月17日現在
残：156枚
2025年3月までの期限切れ枚数：61枚
上記プラス入社者、バッファーを考慮して4月に400枚追加する計画
※4月に追加する場合は3月に要発注
</text>
  </threadedComment>
</ThreadedComments>
</file>

<file path=xl/threadedComments/threadedComment32.xml><?xml version="1.0" encoding="utf-8"?>
<ThreadedComments xmlns="http://schemas.microsoft.com/office/spreadsheetml/2018/threadedcomments" xmlns:x="http://schemas.openxmlformats.org/spreadsheetml/2006/main">
  <threadedComment ref="D14" dT="2025-11-20T01:33:51.00" personId="{71CC488A-A8C4-4A91-82FD-7D24FA133E59}" id="{52FF05A8-C5EB-49F7-AB80-C696F373AA38}">
    <text>直近の実績ベース</text>
  </threadedComment>
</ThreadedComments>
</file>

<file path=xl/threadedComments/threadedComment33.xml><?xml version="1.0" encoding="utf-8"?>
<ThreadedComments xmlns="http://schemas.microsoft.com/office/spreadsheetml/2018/threadedcomments" xmlns:x="http://schemas.openxmlformats.org/spreadsheetml/2006/main">
  <threadedComment ref="J8" dT="2025-11-19T08:54:14.46" personId="{71CC488A-A8C4-4A91-82FD-7D24FA133E59}" id="{1AFF012A-2955-4F0F-9353-052679E81A7D}">
    <text>契約更新月10月から5%upで算出</text>
  </threadedComment>
</ThreadedComments>
</file>

<file path=xl/threadedComments/threadedComment34.xml><?xml version="1.0" encoding="utf-8"?>
<ThreadedComments xmlns="http://schemas.microsoft.com/office/spreadsheetml/2018/threadedcomments" xmlns:x="http://schemas.openxmlformats.org/spreadsheetml/2006/main">
  <threadedComment ref="G22" dT="2024-08-23T04:39:29.45" personId="{71CC488A-A8C4-4A91-82FD-7D24FA133E59}" id="{1547C5FD-2D0F-4099-A60E-6FF8E3460C97}">
    <text>単価1.2倍</text>
  </threadedComment>
  <threadedComment ref="L22" dT="2025-11-17T04:08:13.97" personId="{71CC488A-A8C4-4A91-82FD-7D24FA133E59}" id="{4D57D639-CF3F-467F-8F4A-7F841A3F8A6F}">
    <text>人員（増員）計画は要確認</text>
  </threadedComment>
</ThreadedComments>
</file>

<file path=xl/threadedComments/threadedComment35.xml><?xml version="1.0" encoding="utf-8"?>
<ThreadedComments xmlns="http://schemas.microsoft.com/office/spreadsheetml/2018/threadedcomments" xmlns:x="http://schemas.openxmlformats.org/spreadsheetml/2006/main">
  <threadedComment ref="I4" dT="2024-08-29T04:36:51.72" personId="{71CC488A-A8C4-4A91-82FD-7D24FA133E59}" id="{F9500AD0-833B-40F4-98EF-EA182ED05AC0}">
    <text>2→3に1名追加</text>
  </threadedComment>
  <threadedComment ref="I6" dT="2024-08-22T07:02:37.95" personId="{71CC488A-A8C4-4A91-82FD-7D24FA133E59}" id="{E6F8EF07-3AF2-4EC5-BC64-6F3B661F0758}">
    <text>キッティング回数を2→4に増やしている</text>
  </threadedComment>
  <threadedComment ref="E15" dT="2025-11-17T03:42:58.81" personId="{71CC488A-A8C4-4A91-82FD-7D24FA133E59}" id="{C3682902-DBC7-4334-BBE5-8E48D4AEF782}">
    <text>キッティング2→4にしている</text>
  </threadedComment>
  <threadedComment ref="P22" dT="2025-11-17T04:41:13.29" personId="{71CC488A-A8C4-4A91-82FD-7D24FA133E59}" id="{79F368B7-B339-4C23-AC76-F4B0E1577F93}">
    <text>実績がなぞ</text>
  </threadedComment>
</ThreadedComments>
</file>

<file path=xl/threadedComments/threadedComment36.xml><?xml version="1.0" encoding="utf-8"?>
<ThreadedComments xmlns="http://schemas.microsoft.com/office/spreadsheetml/2018/threadedcomments" xmlns:x="http://schemas.openxmlformats.org/spreadsheetml/2006/main">
  <threadedComment ref="G8" dT="2024-08-29T04:58:19.14" personId="{71CC488A-A8C4-4A91-82FD-7D24FA133E59}" id="{7F98CA98-70AA-446A-80AA-96F41C6EDC69}">
    <text>見積を取得して単価を入れてください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../../../../../../../../../../../../:l:/s/itsupport/FLcv3DStn85JiAptszVAo0UBdWf_JmexjxGV3Q9k94_4eQ?e=933Gc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../../../../../:f:/r/sites/itsupport/Shared%20Documents/05.%E4%BA%88%E7%AE%97%E7%AE%A1%E7%90%86/2026%E5%B9%B4%E4%BA%88%E7%AE%97/%E5%AE%9F%E7%B8%BE/%E6%A0%AA%E5%BC%8F%E4%BC%9A%E7%A4%BE%E3%82%A4%E3%83%B3%E3%82%BF%E3%83%BC%E3%83%8D%E3%83%83%E3%83%88%E3%82%A4%E3%83%8B%E3%82%B7%E3%82%A2%E3%83%86%E3%82%A3%E3%83%96(IIJ)%E3%83%97%E3%83%A9%E3%82%A4%E3%83%90%E3%82%B7%E3%83%BC%E4%BF%9D%E8%AD%B7%E8%A6%8F%E5%88%B6?csf=1&amp;web=1&amp;e=RlkYx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www.lenovo.com/jp/ja/configurator/cto/index.html?bundleId=21LUCTO1WWJP2" TargetMode="Externa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../../../../../:f:/r/sites/itsupport/Shared%20Documents/05.%E4%BA%88%E7%AE%97%E7%AE%A1%E7%90%86/2026%E5%B9%B4%E4%BA%88%E7%AE%97/%E5%AE%9F%E7%B8%BE/%E3%82%BD%E3%83%95%E3%83%88%E3%83%90%E3%83%B3%E3%82%AF%E6%A0%AA%E5%BC%8F%E4%BC%9A%E7%A4%BE%EF%BC%88MSS%EF%BC%89%E2%84%96T9130728364?csf=1&amp;web=1&amp;e=0Uetm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9.x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../../../../../:f:/r/sites/itsupport/Shared%20Documents/05.%E4%BA%88%E7%AE%97%E7%AE%A1%E7%90%86/2026%E5%B9%B4%E4%BA%88%E7%AE%97/%E5%AE%9F%E7%B8%BE/%E5%AF%8C%E5%A3%AB%E3%83%95%E3%82%A4%E3%83%AB%E3%83%A0%E3%83%93%E3%82%B8%E3%83%8D%E3%82%B9%E3%82%A4%E3%83%8E%E3%83%99%E3%83%BC%E3%82%B7%E3%83%A7%E3%83%B3%E3%82%B8%E3%83%A3%E3%83%91%E3%83%B3%E6%A0%AA%E5%BC%8F%E4%BC%9A%E7%A4%BE%EF%BC%88DeviceLogService%EF%BC%89?csf=1&amp;web=1&amp;e=MxUxGD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6.xml"/><Relationship Id="rId4" Type="http://schemas.microsoft.com/office/2017/10/relationships/threadedComment" Target="../threadedComments/threadedComment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1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8.xml"/><Relationship Id="rId4" Type="http://schemas.microsoft.com/office/2017/10/relationships/threadedComment" Target="../threadedComments/threadedComment1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9.xml"/><Relationship Id="rId4" Type="http://schemas.microsoft.com/office/2017/10/relationships/threadedComment" Target="../threadedComments/threadedComment1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20.xml"/><Relationship Id="rId4" Type="http://schemas.microsoft.com/office/2017/10/relationships/threadedComment" Target="../threadedComments/threadedComment1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1.xml"/><Relationship Id="rId4" Type="http://schemas.microsoft.com/office/2017/10/relationships/threadedComment" Target="../threadedComments/threadedComment1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2.xml"/><Relationship Id="rId4" Type="http://schemas.microsoft.com/office/2017/10/relationships/threadedComment" Target="../threadedComments/threadedComment1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3.xml"/><Relationship Id="rId4" Type="http://schemas.microsoft.com/office/2017/10/relationships/threadedComment" Target="../threadedComments/threadedComment1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4.xml"/><Relationship Id="rId4" Type="http://schemas.microsoft.com/office/2017/10/relationships/threadedComment" Target="../threadedComments/threadedComment2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2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8.xml"/><Relationship Id="rId4" Type="http://schemas.microsoft.com/office/2017/10/relationships/threadedComment" Target="../threadedComments/threadedComment2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9.xml"/><Relationship Id="rId4" Type="http://schemas.microsoft.com/office/2017/10/relationships/threadedComment" Target="../threadedComments/threadedComment25.x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30.xml"/><Relationship Id="rId4" Type="http://schemas.microsoft.com/office/2017/10/relationships/threadedComment" Target="../threadedComments/threadedComment2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31.xml"/><Relationship Id="rId4" Type="http://schemas.microsoft.com/office/2017/10/relationships/threadedComment" Target="../threadedComments/threadedComment28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2.xml"/><Relationship Id="rId1" Type="http://schemas.openxmlformats.org/officeDocument/2006/relationships/hyperlink" Target="../../../../../:p:/s/msteams_003612_758521/IQC7jvgeuc52T61MF6eV66INATfxP8cIn_kvp0bRmM7W1Og?e=pnxLjF" TargetMode="External"/><Relationship Id="rId5" Type="http://schemas.microsoft.com/office/2017/10/relationships/threadedComment" Target="../threadedComments/threadedComment29.xml"/><Relationship Id="rId4" Type="http://schemas.openxmlformats.org/officeDocument/2006/relationships/comments" Target="../comments2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4.xml"/><Relationship Id="rId4" Type="http://schemas.microsoft.com/office/2017/10/relationships/threadedComment" Target="../threadedComments/threadedComment3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43.xml"/><Relationship Id="rId4" Type="http://schemas.microsoft.com/office/2017/10/relationships/threadedComment" Target="../threadedComments/threadedComment3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45.xml"/><Relationship Id="rId4" Type="http://schemas.microsoft.com/office/2017/10/relationships/threadedComment" Target="../threadedComments/threadedComment3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hyperlink" Target="file:///\\frontier-mgmt.local\share\b_&#32076;&#21942;&#31649;&#29702;&#37096;\&#12304;&#32076;&#29702;&#12408;&#12305;&#35531;&#27714;&#26360;&#31561;&#20849;&#26377;\&#12304;02&#12305;&#25903;&#25173;&#30003;&#35531;&#28168;&#65288;&#35531;&#27714;&#26360;&#65289;\&#12477;&#12501;&#12488;&#12496;&#12531;&#12463;&#26666;&#24335;&#20250;&#31038;&#65288;ConnecTalk&#12398;&#26376;&#38989;&#21033;&#29992;&#26009;&#65289;&#8470;9931257016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48.xml"/><Relationship Id="rId4" Type="http://schemas.microsoft.com/office/2017/10/relationships/threadedComment" Target="../threadedComments/threadedComment33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52.xml"/><Relationship Id="rId4" Type="http://schemas.microsoft.com/office/2017/10/relationships/threadedComment" Target="../threadedComments/threadedComment3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hyperlink" Target="https://slack.com/intl/ja-jp/pricing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hyperlink" Target="https://workspace.google.com/intl/ja/lp/business/?utm_source=Bing&amp;utm_medium=cpc&amp;utm_campaign=1710070-Workspace-DR-APAC-JP-ja-Bing-BKWS-EXA-Hybrid-HV&amp;utm_content=c-Hybrid+%7C+BKWS+-+EXA+%7C+Txt-Workspace-N/A-973786760522&amp;utm_term=google%20workspace%20%E6%96%99%E9%87%91&amp;gclid=4285ae39178411ccd4b2c726d8ff3525&amp;gclsrc=3p.ds&amp;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58.xml"/><Relationship Id="rId4" Type="http://schemas.microsoft.com/office/2017/10/relationships/threadedComment" Target="../threadedComments/threadedComment35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p:/s/itsupport/EX0fpHQjP7RFssLq8rpX5f4B3rDcP-o4N3ed0XtgxsynDQ?e=iRYIO6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:fl:/g/contentstorage/CSP_f3f50d4f-7338-4442-9a2a-ea33574588df/IQBdD4_JW4WIQoL36COQSz-dAYsVEIIokUOXx3Vu4PPzsYM?e=v6FiOh&amp;nav=cz0lMkZjb250ZW50c3RvcmFnZSUyRkNTUF9mM2Y1MGQ0Zi03MzM4LTQ0NDItOWEyYS1lYTMzNTc0NTg4ZGYmZD1iJTIxVHczMTh6aHpRa1NhS3VvelYwV0kzOGJyMndzRjFPQktsNnVXcTdGV09yQjhLUmF4Y0hWVVE0VkxJRm9KV2xIQyZmPTAxNUFaNUZGSzVCNkg0U1c0RlJCQklGNTdJRU9JRVdQNDUmYz0lMkYmYT1Mb29wQXBwJnA9JTQwZmx1aWR4JTJGbG9vcC1wYWdlLWNvbnRhaW5lciZ4PSU3QiUyMnclMjIlM0ElMjJUMFJUVUh4bWJXa3pOalV1YzJoaGNtVndiMmx1ZEM1amIyMThZaUZVZHpNeE9IcG9lbEZyVTJGTGRXOTZWakJYU1RNNFluSXlkM05HTVU5Q1MydzJkVmR4TjBaWFQzSkNPRXRTWVhoalNGWlZVVFJXVEVsR2IwcFhiRWhEZkRBeE5VRmFOVVpHVGxsUVFVSkNSVE5GTkRkR1JscENTRFUwU1RSUE56TkZWbFUlM0QlMjIlMkMlMjJpJTIyJTNBJTIyNjk5N2FkZTMtZGUwOS00NjkyLTg5YjEtNzhjZTNkMDkwYzlmJTIyJTdE" TargetMode="External"/><Relationship Id="rId1" Type="http://schemas.openxmlformats.org/officeDocument/2006/relationships/hyperlink" Target="https://fmi365-my.sharepoint.com/:fl:/g/personal/k_chen_frontier-mgmt_com/ERP7_9y4TbhInnBSS_lNrK0BCnhwdMFOkK_q0FLERbd1vA?e=SdCyNb&amp;nav=cz0lMkZwZXJzb25hbCUyRmtfY2hlbl9mcm9udGllci1tZ210X2NvbSZkPWIhNFVFNVJTbUNBMDZCX0hSNndBbjZabnlKY3A0RGtIZE9oVGM3ZUhZN2hhdXBIZEZmbUlueFNac0FOT212X1pvbCZmPTAxU1ZFR1JVQVQ3UDc1Wk9DTlhCRUo0NENTSlA0VTNMRk4mYz0lMkYmZmx1aWQ9MSZhPUxvb3BBcHA%3D" TargetMode="Externa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60.xml"/><Relationship Id="rId4" Type="http://schemas.microsoft.com/office/2017/10/relationships/threadedComment" Target="../threadedComments/threadedComment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3D6A-D9AD-48C9-B841-2FBB42BD0DE3}">
  <sheetPr codeName="Sheet2"/>
  <dimension ref="A1:M31"/>
  <sheetViews>
    <sheetView workbookViewId="0">
      <selection activeCell="K20" sqref="K20"/>
    </sheetView>
  </sheetViews>
  <sheetFormatPr defaultRowHeight="18"/>
  <cols>
    <col min="1" max="1" width="13.875" bestFit="1" customWidth="1"/>
    <col min="13" max="13" width="12.375" bestFit="1" customWidth="1"/>
  </cols>
  <sheetData>
    <row r="1" spans="1:13">
      <c r="M1" t="s">
        <v>0</v>
      </c>
    </row>
    <row r="2" spans="1:13">
      <c r="A2" s="34" t="s">
        <v>1</v>
      </c>
      <c r="M2" t="s">
        <v>2</v>
      </c>
    </row>
    <row r="3" spans="1:13">
      <c r="A3" t="s">
        <v>3</v>
      </c>
      <c r="B3">
        <v>40</v>
      </c>
      <c r="M3" t="s">
        <v>4</v>
      </c>
    </row>
    <row r="4" spans="1:13">
      <c r="A4" t="s">
        <v>5</v>
      </c>
      <c r="B4">
        <v>10</v>
      </c>
      <c r="M4" t="s">
        <v>6</v>
      </c>
    </row>
    <row r="5" spans="1:13">
      <c r="A5" t="s">
        <v>7</v>
      </c>
      <c r="B5">
        <v>30</v>
      </c>
      <c r="M5" t="s">
        <v>8</v>
      </c>
    </row>
    <row r="6" spans="1:13">
      <c r="M6" t="s">
        <v>9</v>
      </c>
    </row>
    <row r="7" spans="1:13">
      <c r="A7" t="s">
        <v>10</v>
      </c>
      <c r="M7" t="s">
        <v>11</v>
      </c>
    </row>
    <row r="8" spans="1:13">
      <c r="A8" s="114" t="s">
        <v>12</v>
      </c>
      <c r="M8" t="s">
        <v>13</v>
      </c>
    </row>
    <row r="9" spans="1:13">
      <c r="M9" t="s">
        <v>14</v>
      </c>
    </row>
    <row r="10" spans="1:13">
      <c r="M10" t="s">
        <v>15</v>
      </c>
    </row>
    <row r="11" spans="1:13">
      <c r="M11" t="s">
        <v>16</v>
      </c>
    </row>
    <row r="12" spans="1:13">
      <c r="A12" t="s">
        <v>17</v>
      </c>
      <c r="M12" t="s">
        <v>18</v>
      </c>
    </row>
    <row r="13" spans="1:13">
      <c r="M13" t="s">
        <v>19</v>
      </c>
    </row>
    <row r="14" spans="1:13">
      <c r="M14" t="s">
        <v>20</v>
      </c>
    </row>
    <row r="15" spans="1:13">
      <c r="A15" t="s">
        <v>21</v>
      </c>
      <c r="M15" t="s">
        <v>22</v>
      </c>
    </row>
    <row r="16" spans="1:13">
      <c r="A16" t="s">
        <v>23</v>
      </c>
      <c r="C16">
        <v>23</v>
      </c>
      <c r="M16" t="s">
        <v>24</v>
      </c>
    </row>
    <row r="17" spans="1:13">
      <c r="A17" t="s">
        <v>25</v>
      </c>
      <c r="C17">
        <v>7</v>
      </c>
      <c r="M17" t="s">
        <v>26</v>
      </c>
    </row>
    <row r="18" spans="1:13">
      <c r="A18" t="s">
        <v>27</v>
      </c>
      <c r="C18">
        <v>30</v>
      </c>
      <c r="M18" t="s">
        <v>28</v>
      </c>
    </row>
    <row r="19" spans="1:13">
      <c r="M19" t="s">
        <v>29</v>
      </c>
    </row>
    <row r="20" spans="1:13">
      <c r="A20" t="s">
        <v>30</v>
      </c>
      <c r="M20" t="s">
        <v>31</v>
      </c>
    </row>
    <row r="21" spans="1:13">
      <c r="M21" t="s">
        <v>32</v>
      </c>
    </row>
    <row r="22" spans="1:13">
      <c r="M22" t="s">
        <v>33</v>
      </c>
    </row>
    <row r="23" spans="1:13">
      <c r="M23" t="s">
        <v>34</v>
      </c>
    </row>
    <row r="24" spans="1:13">
      <c r="M24" t="s">
        <v>35</v>
      </c>
    </row>
    <row r="25" spans="1:13">
      <c r="M25" t="s">
        <v>36</v>
      </c>
    </row>
    <row r="26" spans="1:13">
      <c r="M26" t="s">
        <v>37</v>
      </c>
    </row>
    <row r="27" spans="1:13">
      <c r="M27" t="s">
        <v>38</v>
      </c>
    </row>
    <row r="28" spans="1:13">
      <c r="M28" t="s">
        <v>39</v>
      </c>
    </row>
    <row r="29" spans="1:13">
      <c r="M29" t="s">
        <v>40</v>
      </c>
    </row>
    <row r="30" spans="1:13">
      <c r="M30" t="s">
        <v>41</v>
      </c>
    </row>
    <row r="31" spans="1:13">
      <c r="M31" t="s">
        <v>42</v>
      </c>
    </row>
  </sheetData>
  <phoneticPr fontId="6"/>
  <hyperlinks>
    <hyperlink ref="A8" r:id="rId1" display="../../../../../../:l:/s/itsupport/FLcv3DStn85JiAptszVAo0UBdWf_JmexjxGV3Q9k94_4eQ?e=933Gcs" xr:uid="{80CB40AE-00F0-49DD-8431-DC59BACC4DD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420A-1DCE-47BF-A3D3-6F5397C338DF}">
  <sheetPr codeName="Sheet31"/>
  <dimension ref="A1:A40"/>
  <sheetViews>
    <sheetView workbookViewId="0">
      <selection activeCell="K20" sqref="K20"/>
    </sheetView>
  </sheetViews>
  <sheetFormatPr defaultRowHeight="18"/>
  <cols>
    <col min="1" max="1" width="37.625" bestFit="1" customWidth="1"/>
  </cols>
  <sheetData>
    <row r="1" spans="1:1">
      <c r="A1" t="s">
        <v>43</v>
      </c>
    </row>
    <row r="2" spans="1:1">
      <c r="A2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  <row r="11" spans="1:1">
      <c r="A11" t="s">
        <v>53</v>
      </c>
    </row>
    <row r="12" spans="1:1">
      <c r="A12" t="s">
        <v>54</v>
      </c>
    </row>
    <row r="13" spans="1:1">
      <c r="A13" t="s">
        <v>55</v>
      </c>
    </row>
    <row r="14" spans="1:1">
      <c r="A14" t="s">
        <v>56</v>
      </c>
    </row>
    <row r="15" spans="1:1">
      <c r="A15" t="s">
        <v>57</v>
      </c>
    </row>
    <row r="16" spans="1:1">
      <c r="A16" t="s">
        <v>58</v>
      </c>
    </row>
    <row r="17" spans="1:1">
      <c r="A17" t="s">
        <v>59</v>
      </c>
    </row>
    <row r="18" spans="1:1">
      <c r="A18" t="s">
        <v>60</v>
      </c>
    </row>
    <row r="19" spans="1:1">
      <c r="A19" t="s">
        <v>61</v>
      </c>
    </row>
    <row r="20" spans="1:1">
      <c r="A20" t="s">
        <v>62</v>
      </c>
    </row>
    <row r="21" spans="1:1">
      <c r="A21" t="s">
        <v>63</v>
      </c>
    </row>
    <row r="22" spans="1:1">
      <c r="A22" t="s">
        <v>64</v>
      </c>
    </row>
    <row r="23" spans="1:1">
      <c r="A23" t="s">
        <v>65</v>
      </c>
    </row>
    <row r="24" spans="1:1">
      <c r="A24" t="s">
        <v>66</v>
      </c>
    </row>
    <row r="25" spans="1:1">
      <c r="A25" t="s">
        <v>67</v>
      </c>
    </row>
    <row r="26" spans="1:1">
      <c r="A26" t="s">
        <v>68</v>
      </c>
    </row>
    <row r="27" spans="1:1">
      <c r="A27" t="s">
        <v>69</v>
      </c>
    </row>
    <row r="28" spans="1:1">
      <c r="A28" t="s">
        <v>70</v>
      </c>
    </row>
    <row r="29" spans="1:1">
      <c r="A29" t="s">
        <v>71</v>
      </c>
    </row>
    <row r="30" spans="1:1">
      <c r="A30" t="s">
        <v>72</v>
      </c>
    </row>
    <row r="31" spans="1:1">
      <c r="A31" t="s">
        <v>73</v>
      </c>
    </row>
    <row r="32" spans="1:1">
      <c r="A32" t="s">
        <v>74</v>
      </c>
    </row>
    <row r="33" spans="1:1">
      <c r="A33" t="s">
        <v>75</v>
      </c>
    </row>
    <row r="34" spans="1:1">
      <c r="A34" t="s">
        <v>76</v>
      </c>
    </row>
    <row r="35" spans="1:1">
      <c r="A35" t="s">
        <v>77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47AF-1E37-4CE2-BF85-57D187F03B0B}">
  <dimension ref="A2:L8"/>
  <sheetViews>
    <sheetView topLeftCell="B1" zoomScale="85" zoomScaleNormal="85" workbookViewId="0">
      <selection activeCell="K14" sqref="K14"/>
    </sheetView>
  </sheetViews>
  <sheetFormatPr defaultRowHeight="18"/>
  <cols>
    <col min="1" max="1" width="64.5" bestFit="1" customWidth="1"/>
    <col min="3" max="3" width="14.375" bestFit="1" customWidth="1"/>
    <col min="4" max="4" width="10.375" bestFit="1" customWidth="1"/>
    <col min="5" max="5" width="24.5" bestFit="1" customWidth="1"/>
    <col min="6" max="6" width="24.5" hidden="1" customWidth="1"/>
    <col min="7" max="7" width="14.75" customWidth="1"/>
    <col min="8" max="8" width="11.875" hidden="1" customWidth="1"/>
    <col min="9" max="9" width="17.875" bestFit="1" customWidth="1"/>
    <col min="10" max="10" width="12.75" bestFit="1" customWidth="1"/>
    <col min="11" max="11" width="18.75" bestFit="1" customWidth="1"/>
  </cols>
  <sheetData>
    <row r="2" spans="1:12">
      <c r="A2" s="289"/>
      <c r="B2" s="289"/>
      <c r="C2" s="289"/>
      <c r="D2" s="289"/>
      <c r="E2" s="289"/>
      <c r="F2" s="289"/>
      <c r="G2" s="289" t="s">
        <v>78</v>
      </c>
      <c r="H2" s="289"/>
      <c r="I2" s="289" t="s">
        <v>78</v>
      </c>
      <c r="J2" s="392" t="s">
        <v>79</v>
      </c>
      <c r="K2" t="s">
        <v>80</v>
      </c>
    </row>
    <row r="3" spans="1:1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</row>
    <row r="4" spans="1:12">
      <c r="A4" s="2" t="s">
        <v>90</v>
      </c>
      <c r="B4" s="2">
        <v>1</v>
      </c>
      <c r="C4" s="2" t="s">
        <v>91</v>
      </c>
      <c r="D4" s="2" t="s">
        <v>92</v>
      </c>
      <c r="E4" s="2">
        <v>31484</v>
      </c>
      <c r="F4" s="2" t="s">
        <v>93</v>
      </c>
      <c r="G4" s="2"/>
      <c r="H4" s="2"/>
      <c r="I4" s="2">
        <v>29000</v>
      </c>
      <c r="J4" s="2">
        <v>28363</v>
      </c>
      <c r="K4" t="s">
        <v>79</v>
      </c>
    </row>
    <row r="5" spans="1:12">
      <c r="A5" s="2" t="s">
        <v>94</v>
      </c>
      <c r="B5" s="2">
        <v>15</v>
      </c>
      <c r="C5" s="2" t="s">
        <v>95</v>
      </c>
      <c r="D5" s="2" t="s">
        <v>96</v>
      </c>
      <c r="E5" s="2">
        <v>4497</v>
      </c>
      <c r="F5" s="2" t="s">
        <v>97</v>
      </c>
      <c r="G5" s="2">
        <v>4722</v>
      </c>
      <c r="H5" s="2" t="s">
        <v>98</v>
      </c>
      <c r="I5" s="2">
        <v>4342</v>
      </c>
      <c r="J5" s="2">
        <v>4320</v>
      </c>
      <c r="K5" t="s">
        <v>79</v>
      </c>
    </row>
    <row r="6" spans="1:12">
      <c r="A6" s="2" t="s">
        <v>99</v>
      </c>
      <c r="B6" s="2">
        <v>579</v>
      </c>
      <c r="C6" s="2" t="s">
        <v>100</v>
      </c>
      <c r="D6" s="2" t="s">
        <v>96</v>
      </c>
      <c r="E6" s="2">
        <v>7357</v>
      </c>
      <c r="F6" s="2" t="s">
        <v>101</v>
      </c>
      <c r="G6" s="2">
        <v>7726</v>
      </c>
      <c r="H6" s="2" t="s">
        <v>102</v>
      </c>
      <c r="I6" s="2">
        <v>7380</v>
      </c>
      <c r="J6" s="2">
        <v>7277</v>
      </c>
      <c r="K6" t="s">
        <v>79</v>
      </c>
    </row>
    <row r="7" spans="1:12">
      <c r="A7" s="2" t="s">
        <v>103</v>
      </c>
      <c r="B7" s="2">
        <v>4</v>
      </c>
      <c r="C7" s="2" t="s">
        <v>104</v>
      </c>
      <c r="D7" s="2" t="s">
        <v>105</v>
      </c>
      <c r="E7" s="2">
        <v>1939</v>
      </c>
      <c r="F7" s="2" t="s">
        <v>106</v>
      </c>
      <c r="G7" s="2">
        <v>2036</v>
      </c>
      <c r="H7" s="2" t="s">
        <v>107</v>
      </c>
      <c r="I7" s="2">
        <v>2020</v>
      </c>
      <c r="J7" s="2">
        <v>1797</v>
      </c>
      <c r="K7" t="s">
        <v>79</v>
      </c>
    </row>
    <row r="8" spans="1:12">
      <c r="A8" s="2" t="s">
        <v>108</v>
      </c>
      <c r="B8" s="2">
        <v>2</v>
      </c>
      <c r="C8" s="2" t="s">
        <v>109</v>
      </c>
      <c r="D8" s="2"/>
      <c r="E8" s="2">
        <v>1622</v>
      </c>
      <c r="F8" s="2" t="s">
        <v>110</v>
      </c>
      <c r="G8" s="2"/>
      <c r="H8" s="2"/>
      <c r="I8" s="2">
        <v>1540</v>
      </c>
      <c r="J8" s="5">
        <v>1286</v>
      </c>
      <c r="K8" t="s">
        <v>79</v>
      </c>
      <c r="L8" t="s">
        <v>111</v>
      </c>
    </row>
  </sheetData>
  <phoneticPr fontId="6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D6C6-5920-424E-9FAB-9F26AA9FC3FE}">
  <sheetPr codeName="Sheet4">
    <tabColor rgb="FFFFC000"/>
  </sheetPr>
  <dimension ref="A1:S30"/>
  <sheetViews>
    <sheetView zoomScale="70" zoomScaleNormal="70" workbookViewId="0">
      <selection activeCell="K20" sqref="K20"/>
    </sheetView>
  </sheetViews>
  <sheetFormatPr defaultColWidth="8.75" defaultRowHeight="18"/>
  <cols>
    <col min="1" max="1" width="4.25" style="12" customWidth="1"/>
    <col min="2" max="2" width="33.25" style="12" bestFit="1" customWidth="1"/>
    <col min="3" max="3" width="11" style="12" customWidth="1"/>
    <col min="4" max="7" width="8.5" style="12" bestFit="1" customWidth="1"/>
    <col min="8" max="8" width="11.625" style="12" bestFit="1" customWidth="1"/>
    <col min="9" max="9" width="8.5" style="12" bestFit="1" customWidth="1"/>
    <col min="10" max="10" width="9.5" style="12" bestFit="1" customWidth="1"/>
    <col min="11" max="13" width="8.5" style="12" bestFit="1" customWidth="1"/>
    <col min="14" max="14" width="13.25" style="12" customWidth="1"/>
    <col min="15" max="15" width="8.5" style="12" bestFit="1" customWidth="1"/>
    <col min="16" max="16" width="11" style="12" bestFit="1" customWidth="1"/>
    <col min="17" max="29" width="5.75" style="12" customWidth="1"/>
    <col min="30" max="30" width="15.75" style="12" bestFit="1" customWidth="1"/>
    <col min="31" max="31" width="11.125" style="12" customWidth="1"/>
    <col min="32" max="32" width="13" style="12" customWidth="1"/>
    <col min="33" max="33" width="12.375" style="12" customWidth="1"/>
    <col min="34" max="16384" width="8.75" style="12"/>
  </cols>
  <sheetData>
    <row r="1" spans="1:19">
      <c r="A1" s="12" t="s">
        <v>112</v>
      </c>
    </row>
    <row r="2" spans="1:19">
      <c r="A2" s="382"/>
      <c r="C2" s="14"/>
      <c r="D2" s="14"/>
      <c r="E2" s="14"/>
      <c r="F2" s="14"/>
      <c r="G2" s="14" t="s">
        <v>113</v>
      </c>
      <c r="H2" s="14" t="s">
        <v>114</v>
      </c>
      <c r="I2" s="15"/>
      <c r="J2" s="383" t="s">
        <v>115</v>
      </c>
      <c r="K2" s="14"/>
      <c r="L2" s="14"/>
      <c r="M2" s="14"/>
      <c r="O2" s="317" t="s">
        <v>116</v>
      </c>
      <c r="P2" s="23"/>
      <c r="Q2" s="23"/>
      <c r="R2" s="23"/>
      <c r="S2" s="23"/>
    </row>
    <row r="3" spans="1:19">
      <c r="B3" s="12" t="s">
        <v>117</v>
      </c>
      <c r="D3" s="237" t="s">
        <v>118</v>
      </c>
      <c r="E3" s="237"/>
      <c r="F3" s="237"/>
      <c r="G3" s="237">
        <v>5500</v>
      </c>
      <c r="H3" s="237">
        <v>5500</v>
      </c>
      <c r="I3" s="407">
        <v>200</v>
      </c>
      <c r="J3" s="407"/>
      <c r="K3" s="408">
        <f>G3*I3</f>
        <v>1100000</v>
      </c>
      <c r="L3" s="408"/>
      <c r="M3" s="408"/>
      <c r="O3" s="317" t="s">
        <v>119</v>
      </c>
      <c r="P3" s="23"/>
      <c r="Q3" s="23"/>
      <c r="R3" s="23"/>
      <c r="S3" s="23"/>
    </row>
    <row r="4" spans="1:19">
      <c r="D4" s="237" t="s">
        <v>120</v>
      </c>
      <c r="E4" s="237"/>
      <c r="F4" s="237"/>
      <c r="G4" s="237">
        <v>3621</v>
      </c>
      <c r="H4" s="12">
        <v>3700</v>
      </c>
      <c r="I4" s="407">
        <v>200</v>
      </c>
      <c r="J4" s="407"/>
      <c r="K4" s="408">
        <f>I4*H4</f>
        <v>740000</v>
      </c>
      <c r="L4" s="408"/>
      <c r="M4" s="408"/>
      <c r="O4" s="317" t="s">
        <v>121</v>
      </c>
      <c r="P4" s="23"/>
      <c r="Q4" s="23"/>
      <c r="R4" s="23"/>
      <c r="S4" s="23"/>
    </row>
    <row r="5" spans="1:19">
      <c r="C5" s="237"/>
      <c r="D5" s="237"/>
      <c r="E5" s="237"/>
      <c r="F5" s="237"/>
      <c r="G5" s="237"/>
      <c r="H5" s="237"/>
      <c r="I5" s="407"/>
      <c r="J5" s="407"/>
      <c r="K5" s="408"/>
      <c r="L5" s="408"/>
      <c r="M5" s="408"/>
      <c r="O5" s="23"/>
      <c r="P5" s="23"/>
      <c r="Q5" s="23"/>
      <c r="R5" s="23"/>
      <c r="S5" s="23"/>
    </row>
    <row r="6" spans="1:19">
      <c r="C6" s="237"/>
      <c r="D6" s="237"/>
      <c r="E6" s="237"/>
      <c r="F6" s="237"/>
      <c r="G6" s="237"/>
      <c r="H6" s="237"/>
      <c r="I6" s="407"/>
      <c r="J6" s="407"/>
      <c r="K6" s="408"/>
      <c r="L6" s="408"/>
      <c r="M6" s="408"/>
      <c r="N6" s="382"/>
      <c r="O6" s="23"/>
      <c r="P6" s="23"/>
      <c r="Q6" s="23"/>
      <c r="R6" s="23"/>
      <c r="S6" s="23"/>
    </row>
    <row r="7" spans="1:19" ht="18.600000000000001" thickBot="1">
      <c r="C7" s="408"/>
      <c r="D7" s="408"/>
      <c r="E7" s="408"/>
      <c r="F7" s="408"/>
      <c r="G7" s="408"/>
      <c r="H7" s="408"/>
      <c r="I7" s="407"/>
      <c r="J7" s="407"/>
      <c r="K7" s="408"/>
      <c r="L7" s="408"/>
      <c r="M7" s="408"/>
      <c r="N7" s="382"/>
      <c r="O7" s="23"/>
      <c r="P7" s="23"/>
      <c r="Q7" s="23"/>
      <c r="R7" s="23"/>
      <c r="S7" s="23"/>
    </row>
    <row r="8" spans="1:19" ht="18.95" thickTop="1" thickBot="1">
      <c r="B8" s="12" t="s">
        <v>122</v>
      </c>
      <c r="K8" s="399" t="s">
        <v>123</v>
      </c>
      <c r="L8" s="400"/>
      <c r="M8" s="401"/>
      <c r="N8" s="382" t="s">
        <v>124</v>
      </c>
    </row>
    <row r="9" spans="1:19" ht="18.95" thickTop="1" thickBot="1">
      <c r="H9" s="317"/>
      <c r="I9" s="23"/>
      <c r="J9" s="317" t="s">
        <v>125</v>
      </c>
      <c r="K9" s="402">
        <v>1200000</v>
      </c>
      <c r="L9" s="403"/>
      <c r="M9" s="404"/>
      <c r="N9" s="13">
        <f>K4</f>
        <v>740000</v>
      </c>
    </row>
    <row r="10" spans="1:19" ht="18.95" thickTop="1" thickBot="1">
      <c r="H10" s="317"/>
      <c r="I10" s="23"/>
      <c r="J10" s="317" t="s">
        <v>126</v>
      </c>
      <c r="K10" s="402">
        <f>K9/12</f>
        <v>100000</v>
      </c>
      <c r="L10" s="405"/>
      <c r="M10" s="406"/>
      <c r="N10" s="238">
        <f>N9/12</f>
        <v>61666.666666666664</v>
      </c>
    </row>
    <row r="11" spans="1:19" ht="18.600000000000001" thickTop="1">
      <c r="A11" s="382" t="s">
        <v>124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  <c r="P11" s="382" t="s">
        <v>139</v>
      </c>
    </row>
    <row r="12" spans="1:19">
      <c r="B12" s="384" t="s">
        <v>140</v>
      </c>
      <c r="C12" s="116"/>
      <c r="D12" s="385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13">
        <f>SUM(D12:O12)</f>
        <v>0</v>
      </c>
    </row>
    <row r="13" spans="1:19">
      <c r="B13" s="382" t="s">
        <v>141</v>
      </c>
      <c r="C13" s="382"/>
      <c r="P13" s="12">
        <f>SUM(D13:O13)</f>
        <v>0</v>
      </c>
    </row>
    <row r="14" spans="1:19">
      <c r="F14" s="382"/>
      <c r="G14" s="382"/>
    </row>
    <row r="15" spans="1:19">
      <c r="C15" s="382"/>
    </row>
    <row r="17" spans="1:16">
      <c r="A17" s="382" t="s">
        <v>123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  <c r="P17" s="382" t="s">
        <v>139</v>
      </c>
    </row>
    <row r="18" spans="1:16">
      <c r="B18" s="384" t="s">
        <v>140</v>
      </c>
      <c r="C18" s="116"/>
      <c r="D18" s="385">
        <v>100000</v>
      </c>
      <c r="E18" s="385">
        <v>100000</v>
      </c>
      <c r="F18" s="385">
        <v>100000</v>
      </c>
      <c r="G18" s="385">
        <v>100000</v>
      </c>
      <c r="H18" s="385">
        <v>100000</v>
      </c>
      <c r="I18" s="385">
        <v>100000</v>
      </c>
      <c r="J18" s="385">
        <v>100000</v>
      </c>
      <c r="K18" s="385">
        <v>100000</v>
      </c>
      <c r="L18" s="385">
        <v>100000</v>
      </c>
      <c r="M18" s="385">
        <v>100000</v>
      </c>
      <c r="N18" s="385">
        <v>100000</v>
      </c>
      <c r="O18" s="385">
        <v>100000</v>
      </c>
      <c r="P18" s="13">
        <f>SUM(D18:O18)</f>
        <v>1200000</v>
      </c>
    </row>
    <row r="19" spans="1:16">
      <c r="B19" s="382" t="s">
        <v>141</v>
      </c>
      <c r="C19" s="382" t="s">
        <v>120</v>
      </c>
      <c r="F19" s="12">
        <v>108630</v>
      </c>
      <c r="G19" s="12">
        <v>126735</v>
      </c>
      <c r="K19" s="12">
        <v>362100</v>
      </c>
      <c r="P19" s="12">
        <f>SUM(D19:O19)</f>
        <v>597465</v>
      </c>
    </row>
    <row r="20" spans="1:16">
      <c r="B20" s="382"/>
      <c r="C20" s="382"/>
      <c r="F20" s="12">
        <v>30</v>
      </c>
      <c r="G20" s="12">
        <v>35</v>
      </c>
      <c r="K20" s="12">
        <v>100</v>
      </c>
    </row>
    <row r="21" spans="1:16">
      <c r="F21" s="382" t="s">
        <v>142</v>
      </c>
      <c r="G21" s="382" t="s">
        <v>143</v>
      </c>
      <c r="K21" s="382" t="s">
        <v>144</v>
      </c>
    </row>
    <row r="22" spans="1:16">
      <c r="C22" s="382" t="s">
        <v>145</v>
      </c>
      <c r="K22" s="12">
        <v>5980</v>
      </c>
    </row>
    <row r="23" spans="1:16">
      <c r="K23" s="382" t="s">
        <v>146</v>
      </c>
    </row>
    <row r="24" spans="1:16" customFormat="1">
      <c r="A24" t="s">
        <v>147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137</v>
      </c>
      <c r="O24" t="s">
        <v>138</v>
      </c>
    </row>
    <row r="25" spans="1:16" customFormat="1">
      <c r="B25" t="s">
        <v>140</v>
      </c>
      <c r="D25" s="2"/>
      <c r="E25" s="2"/>
      <c r="F25" s="2">
        <v>300000</v>
      </c>
      <c r="G25" s="2"/>
      <c r="H25" s="2"/>
      <c r="I25" s="2">
        <v>300000</v>
      </c>
      <c r="J25" s="2"/>
      <c r="K25" s="2"/>
      <c r="L25" s="2"/>
      <c r="M25" s="2"/>
      <c r="N25" s="2"/>
      <c r="O25" s="2"/>
      <c r="P25" s="3">
        <f>SUM(D25:O25)</f>
        <v>600000</v>
      </c>
    </row>
    <row r="26" spans="1:16" customFormat="1">
      <c r="B26" s="42" t="s">
        <v>148</v>
      </c>
      <c r="C26" s="42">
        <v>4700</v>
      </c>
      <c r="D26" s="2"/>
      <c r="E26" s="2"/>
      <c r="F26" s="2">
        <v>50</v>
      </c>
      <c r="G26" s="2"/>
      <c r="H26" s="2"/>
      <c r="I26" s="2"/>
      <c r="J26" s="2">
        <v>50</v>
      </c>
      <c r="K26" s="2"/>
      <c r="L26" s="2"/>
      <c r="M26" s="2"/>
      <c r="N26" s="2"/>
      <c r="O26" s="2"/>
      <c r="P26" s="3"/>
    </row>
    <row r="27" spans="1:16" customFormat="1">
      <c r="B27" t="s">
        <v>141</v>
      </c>
      <c r="D27" s="3">
        <f>D$55+D$56</f>
        <v>0</v>
      </c>
      <c r="E27" s="3">
        <f t="shared" ref="E27:O27" si="0">E$55+E$56</f>
        <v>0</v>
      </c>
      <c r="F27" s="3">
        <f>C26*F26</f>
        <v>235000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>J26*C26</f>
        <v>235000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>SUM(D27:O27)</f>
        <v>470000</v>
      </c>
    </row>
    <row r="28" spans="1:16" customFormat="1">
      <c r="B28" s="16" t="s">
        <v>149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>P27-P25</f>
        <v>-130000</v>
      </c>
    </row>
    <row r="29" spans="1:16">
      <c r="F29" s="12" t="s">
        <v>150</v>
      </c>
      <c r="J29" s="12" t="s">
        <v>151</v>
      </c>
    </row>
    <row r="30" spans="1:16">
      <c r="F30" s="92">
        <v>235000</v>
      </c>
      <c r="J30" s="112">
        <v>235000</v>
      </c>
    </row>
  </sheetData>
  <mergeCells count="14">
    <mergeCell ref="C7:H7"/>
    <mergeCell ref="I5:J5"/>
    <mergeCell ref="K5:M5"/>
    <mergeCell ref="I6:J6"/>
    <mergeCell ref="K6:M6"/>
    <mergeCell ref="I7:J7"/>
    <mergeCell ref="K7:M7"/>
    <mergeCell ref="K8:M8"/>
    <mergeCell ref="K9:M9"/>
    <mergeCell ref="K10:M10"/>
    <mergeCell ref="I3:J3"/>
    <mergeCell ref="K3:M3"/>
    <mergeCell ref="I4:J4"/>
    <mergeCell ref="K4:M4"/>
  </mergeCells>
  <phoneticPr fontId="6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BAEA-3E6B-4631-B985-A1475F7A0DFB}">
  <sheetPr codeName="Sheet35">
    <tabColor rgb="FFFFC000"/>
  </sheetPr>
  <dimension ref="A5:S44"/>
  <sheetViews>
    <sheetView zoomScale="70" zoomScaleNormal="70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19.375" customWidth="1"/>
    <col min="9" max="9" width="11.5" bestFit="1" customWidth="1"/>
    <col min="10" max="11" width="10.375" bestFit="1" customWidth="1"/>
    <col min="12" max="12" width="13.375" customWidth="1"/>
    <col min="13" max="14" width="10.375" bestFit="1" customWidth="1"/>
    <col min="15" max="15" width="14.875" customWidth="1"/>
  </cols>
  <sheetData>
    <row r="5" spans="1:19">
      <c r="D5" t="s">
        <v>147</v>
      </c>
      <c r="H5" t="s">
        <v>123</v>
      </c>
      <c r="L5" t="s">
        <v>124</v>
      </c>
    </row>
    <row r="6" spans="1:19">
      <c r="D6" t="s">
        <v>152</v>
      </c>
      <c r="E6" t="s">
        <v>153</v>
      </c>
      <c r="H6" t="s">
        <v>152</v>
      </c>
      <c r="I6" t="s">
        <v>153</v>
      </c>
      <c r="L6" t="s">
        <v>152</v>
      </c>
      <c r="M6" t="s">
        <v>153</v>
      </c>
    </row>
    <row r="7" spans="1:19">
      <c r="D7" s="2">
        <v>38000</v>
      </c>
      <c r="E7">
        <v>1</v>
      </c>
      <c r="F7" s="2">
        <f>D7*E7</f>
        <v>38000</v>
      </c>
      <c r="H7" s="2">
        <v>38000</v>
      </c>
      <c r="I7" s="2">
        <v>1</v>
      </c>
      <c r="J7" s="2">
        <f>H7*I7</f>
        <v>38000</v>
      </c>
      <c r="L7" s="2">
        <v>38000</v>
      </c>
      <c r="M7" s="2">
        <v>1</v>
      </c>
      <c r="N7" s="2">
        <f>L7*M7</f>
        <v>38000</v>
      </c>
    </row>
    <row r="8" spans="1:19">
      <c r="L8" t="s">
        <v>154</v>
      </c>
    </row>
    <row r="9" spans="1:19">
      <c r="D9" s="2"/>
      <c r="F9" s="2"/>
      <c r="H9" s="2"/>
      <c r="J9" s="2"/>
      <c r="L9" s="2">
        <v>51480</v>
      </c>
      <c r="M9">
        <v>12</v>
      </c>
      <c r="N9">
        <f>L9/M9</f>
        <v>4290</v>
      </c>
    </row>
    <row r="10" spans="1:19">
      <c r="D10" s="2"/>
      <c r="F10" s="2"/>
      <c r="H10" s="2"/>
      <c r="J10" s="2"/>
      <c r="L10" t="s">
        <v>126</v>
      </c>
      <c r="N10" s="3">
        <f>N7+N9</f>
        <v>42290</v>
      </c>
    </row>
    <row r="11" spans="1:19">
      <c r="D11" s="2"/>
      <c r="F11" s="2"/>
      <c r="H11" s="2"/>
      <c r="J11" s="2"/>
      <c r="L11" s="2"/>
    </row>
    <row r="12" spans="1:19">
      <c r="E12" s="2"/>
      <c r="H12" t="s">
        <v>126</v>
      </c>
      <c r="I12" s="11"/>
      <c r="J12" s="11">
        <f>J7</f>
        <v>38000</v>
      </c>
      <c r="L12" s="25" t="s">
        <v>155</v>
      </c>
      <c r="M12" s="25"/>
      <c r="N12" s="26">
        <v>43000</v>
      </c>
    </row>
    <row r="13" spans="1:19">
      <c r="H13" t="s">
        <v>156</v>
      </c>
      <c r="I13" s="11"/>
      <c r="J13" s="11">
        <f>J12*12</f>
        <v>456000</v>
      </c>
      <c r="L13" s="26" t="s">
        <v>157</v>
      </c>
      <c r="M13" s="25"/>
      <c r="N13" s="26">
        <f>N12*12</f>
        <v>516000</v>
      </c>
    </row>
    <row r="14" spans="1:19">
      <c r="A14" t="s">
        <v>124</v>
      </c>
    </row>
    <row r="15" spans="1:19">
      <c r="A15" t="s">
        <v>158</v>
      </c>
      <c r="C15" t="s">
        <v>127</v>
      </c>
      <c r="D15" t="s">
        <v>159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</row>
    <row r="16" spans="1:19">
      <c r="B16" t="s">
        <v>140</v>
      </c>
      <c r="C16" s="26">
        <v>42500</v>
      </c>
      <c r="D16" s="26">
        <v>42500</v>
      </c>
      <c r="E16" s="26">
        <v>42500</v>
      </c>
      <c r="F16" s="26">
        <v>42500</v>
      </c>
      <c r="G16" s="26">
        <v>42500</v>
      </c>
      <c r="H16" s="26">
        <v>42500</v>
      </c>
      <c r="I16" s="26">
        <v>42500</v>
      </c>
      <c r="J16" s="26">
        <v>42500</v>
      </c>
      <c r="K16" s="26">
        <v>42500</v>
      </c>
      <c r="L16" s="26">
        <v>42500</v>
      </c>
      <c r="M16" s="26">
        <v>42500</v>
      </c>
      <c r="N16" s="26">
        <v>42500</v>
      </c>
      <c r="O16" s="3">
        <f>SUM(C16:N16)</f>
        <v>510000</v>
      </c>
      <c r="P16" t="s">
        <v>160</v>
      </c>
      <c r="S16" s="263">
        <f>O16-O22</f>
        <v>54000</v>
      </c>
    </row>
    <row r="17" spans="1:19">
      <c r="B17" t="s">
        <v>141</v>
      </c>
      <c r="C17" s="241"/>
      <c r="D17" s="242"/>
      <c r="E17" s="242"/>
      <c r="F17" s="242"/>
      <c r="G17" s="242"/>
      <c r="H17" s="242"/>
      <c r="I17" s="242"/>
      <c r="J17" s="242"/>
      <c r="K17" s="242"/>
      <c r="L17" s="243"/>
      <c r="M17" s="243"/>
      <c r="N17" s="243"/>
      <c r="O17" s="3">
        <f>SUM(C17:N17)</f>
        <v>0</v>
      </c>
      <c r="P17" t="s">
        <v>161</v>
      </c>
      <c r="S17" s="263">
        <f>O16-O23</f>
        <v>2520</v>
      </c>
    </row>
    <row r="18" spans="1:19">
      <c r="C18" s="239"/>
      <c r="O18" s="240">
        <f>O17-O16</f>
        <v>-510000</v>
      </c>
    </row>
    <row r="19" spans="1:19">
      <c r="C19" s="239"/>
    </row>
    <row r="20" spans="1:19">
      <c r="A20" t="s">
        <v>123</v>
      </c>
    </row>
    <row r="21" spans="1:19">
      <c r="A21" t="s">
        <v>158</v>
      </c>
      <c r="C21" t="s">
        <v>127</v>
      </c>
      <c r="D21" t="s">
        <v>159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  <c r="L21" t="s">
        <v>136</v>
      </c>
      <c r="M21" t="s">
        <v>137</v>
      </c>
      <c r="N21" t="s">
        <v>138</v>
      </c>
    </row>
    <row r="22" spans="1:19">
      <c r="B22" t="s">
        <v>140</v>
      </c>
      <c r="C22" s="264">
        <f>$J$12</f>
        <v>38000</v>
      </c>
      <c r="D22" s="264">
        <f t="shared" ref="D22:N22" si="0">$J$12</f>
        <v>38000</v>
      </c>
      <c r="E22" s="264">
        <f t="shared" si="0"/>
        <v>38000</v>
      </c>
      <c r="F22" s="264">
        <f t="shared" si="0"/>
        <v>38000</v>
      </c>
      <c r="G22" s="264">
        <f t="shared" si="0"/>
        <v>38000</v>
      </c>
      <c r="H22" s="264">
        <f t="shared" si="0"/>
        <v>38000</v>
      </c>
      <c r="I22" s="264">
        <f t="shared" si="0"/>
        <v>38000</v>
      </c>
      <c r="J22" s="264">
        <f t="shared" si="0"/>
        <v>38000</v>
      </c>
      <c r="K22" s="264">
        <f t="shared" si="0"/>
        <v>38000</v>
      </c>
      <c r="L22" s="264">
        <f t="shared" si="0"/>
        <v>38000</v>
      </c>
      <c r="M22" s="264">
        <f t="shared" si="0"/>
        <v>38000</v>
      </c>
      <c r="N22" s="264">
        <f t="shared" si="0"/>
        <v>38000</v>
      </c>
      <c r="O22" s="3">
        <f>SUM(C22:N22)</f>
        <v>456000</v>
      </c>
      <c r="P22" t="s">
        <v>162</v>
      </c>
    </row>
    <row r="23" spans="1:19">
      <c r="B23" t="s">
        <v>141</v>
      </c>
      <c r="C23" s="241">
        <v>50240</v>
      </c>
      <c r="D23" s="242">
        <v>38000</v>
      </c>
      <c r="E23" s="242">
        <v>76070</v>
      </c>
      <c r="F23" s="242">
        <v>38000</v>
      </c>
      <c r="G23" s="242">
        <v>38000</v>
      </c>
      <c r="H23" s="242">
        <v>38000</v>
      </c>
      <c r="I23" s="242">
        <v>39170</v>
      </c>
      <c r="J23" s="242">
        <v>38000</v>
      </c>
      <c r="K23" s="242">
        <v>38000</v>
      </c>
      <c r="L23" s="243">
        <v>38000</v>
      </c>
      <c r="M23" s="243">
        <v>38000</v>
      </c>
      <c r="N23" s="243">
        <v>38000</v>
      </c>
      <c r="O23" s="3">
        <f>SUM(C23:N23)</f>
        <v>507480</v>
      </c>
      <c r="P23" s="242">
        <f>O23/12</f>
        <v>42290</v>
      </c>
    </row>
    <row r="24" spans="1:19">
      <c r="C24" s="239" t="s">
        <v>163</v>
      </c>
      <c r="E24" t="s">
        <v>163</v>
      </c>
      <c r="I24" t="s">
        <v>163</v>
      </c>
      <c r="N24" t="s">
        <v>164</v>
      </c>
      <c r="O24" s="240">
        <f>O23-O22</f>
        <v>51480</v>
      </c>
      <c r="P24" t="s">
        <v>165</v>
      </c>
    </row>
    <row r="25" spans="1:19">
      <c r="C25" s="239"/>
    </row>
    <row r="26" spans="1:19">
      <c r="C26" s="239"/>
    </row>
    <row r="27" spans="1:19">
      <c r="C27" s="239"/>
    </row>
    <row r="28" spans="1:19">
      <c r="C28" s="239"/>
    </row>
    <row r="29" spans="1:19">
      <c r="C29" s="239"/>
    </row>
    <row r="30" spans="1:19">
      <c r="C30" s="239"/>
    </row>
    <row r="31" spans="1:19">
      <c r="C31" s="239"/>
    </row>
    <row r="36" spans="3:3">
      <c r="C36" s="2"/>
    </row>
    <row r="37" spans="3:3">
      <c r="C37" s="239"/>
    </row>
    <row r="38" spans="3:3">
      <c r="C38" s="239"/>
    </row>
    <row r="39" spans="3:3">
      <c r="C39" s="239"/>
    </row>
    <row r="40" spans="3:3">
      <c r="C40" s="239"/>
    </row>
    <row r="41" spans="3:3">
      <c r="C41" s="239"/>
    </row>
    <row r="42" spans="3:3">
      <c r="C42" s="239"/>
    </row>
    <row r="43" spans="3:3">
      <c r="C43" s="239"/>
    </row>
    <row r="44" spans="3:3">
      <c r="C44" s="239"/>
    </row>
  </sheetData>
  <phoneticPr fontId="6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A208-3A4E-469C-993E-E22784A3A6D1}">
  <sheetPr codeName="Sheet33">
    <tabColor rgb="FFFFC000"/>
  </sheetPr>
  <dimension ref="A1:T40"/>
  <sheetViews>
    <sheetView topLeftCell="A7" zoomScale="70" zoomScaleNormal="70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1" width="10.375" bestFit="1" customWidth="1"/>
    <col min="12" max="12" width="12.5" customWidth="1"/>
    <col min="13" max="14" width="10.375" bestFit="1" customWidth="1"/>
    <col min="15" max="15" width="16.375" customWidth="1"/>
  </cols>
  <sheetData>
    <row r="1" spans="1:20">
      <c r="A1" t="s">
        <v>166</v>
      </c>
    </row>
    <row r="5" spans="1:20">
      <c r="D5" t="s">
        <v>147</v>
      </c>
      <c r="H5" t="s">
        <v>123</v>
      </c>
      <c r="L5" t="s">
        <v>124</v>
      </c>
      <c r="P5" s="247"/>
    </row>
    <row r="6" spans="1:20">
      <c r="D6" t="s">
        <v>152</v>
      </c>
      <c r="E6" t="s">
        <v>153</v>
      </c>
      <c r="H6" t="s">
        <v>152</v>
      </c>
      <c r="I6" t="s">
        <v>153</v>
      </c>
      <c r="L6" t="s">
        <v>152</v>
      </c>
      <c r="M6" t="s">
        <v>153</v>
      </c>
      <c r="P6" s="247"/>
    </row>
    <row r="7" spans="1:20">
      <c r="D7">
        <v>3000</v>
      </c>
      <c r="E7">
        <v>1</v>
      </c>
      <c r="F7">
        <f>D7*E7</f>
        <v>3000</v>
      </c>
      <c r="H7" s="2">
        <v>3150</v>
      </c>
      <c r="I7" s="2">
        <v>1</v>
      </c>
      <c r="J7" s="2">
        <f>H7*I7</f>
        <v>3150</v>
      </c>
      <c r="L7" s="2">
        <v>3150</v>
      </c>
      <c r="M7" s="2">
        <v>1</v>
      </c>
      <c r="N7" s="2">
        <f>L7*M7</f>
        <v>3150</v>
      </c>
      <c r="P7" s="247"/>
    </row>
    <row r="8" spans="1:20">
      <c r="D8" t="s">
        <v>167</v>
      </c>
      <c r="E8" t="s">
        <v>153</v>
      </c>
      <c r="F8" t="s">
        <v>141</v>
      </c>
      <c r="H8" t="s">
        <v>168</v>
      </c>
      <c r="I8" t="s">
        <v>153</v>
      </c>
      <c r="L8" t="s">
        <v>168</v>
      </c>
      <c r="M8" t="s">
        <v>153</v>
      </c>
      <c r="P8" s="247"/>
    </row>
    <row r="9" spans="1:20">
      <c r="D9" s="2">
        <v>80</v>
      </c>
      <c r="E9">
        <v>1495</v>
      </c>
      <c r="F9" s="2">
        <f>E9*D9</f>
        <v>119600</v>
      </c>
      <c r="H9" s="2">
        <v>84</v>
      </c>
      <c r="I9">
        <v>2000</v>
      </c>
      <c r="J9" s="2">
        <f>I9*H9</f>
        <v>168000</v>
      </c>
      <c r="L9" s="2">
        <v>84</v>
      </c>
      <c r="N9" s="2">
        <f>M9*L9</f>
        <v>0</v>
      </c>
      <c r="P9" s="247"/>
    </row>
    <row r="10" spans="1:20">
      <c r="D10" t="s">
        <v>126</v>
      </c>
      <c r="E10" s="2">
        <f>D9*E9</f>
        <v>119600</v>
      </c>
      <c r="F10">
        <f>F9*12</f>
        <v>1435200</v>
      </c>
      <c r="H10" t="s">
        <v>126</v>
      </c>
      <c r="I10" s="11"/>
      <c r="J10" s="11">
        <f>J9+J7</f>
        <v>171150</v>
      </c>
      <c r="L10" s="25" t="s">
        <v>126</v>
      </c>
      <c r="M10" s="26"/>
      <c r="N10" s="26"/>
      <c r="P10" s="247"/>
    </row>
    <row r="11" spans="1:20">
      <c r="H11" t="s">
        <v>156</v>
      </c>
      <c r="I11" s="11"/>
      <c r="J11" s="11">
        <f>J10*12</f>
        <v>2053800</v>
      </c>
      <c r="L11" s="25" t="s">
        <v>156</v>
      </c>
      <c r="M11" s="26"/>
      <c r="N11" s="26"/>
      <c r="P11" s="247"/>
    </row>
    <row r="12" spans="1:20">
      <c r="A12" t="s">
        <v>124</v>
      </c>
      <c r="P12" s="248"/>
    </row>
    <row r="13" spans="1:20">
      <c r="A13" t="s">
        <v>169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  <c r="P13" s="125"/>
    </row>
    <row r="14" spans="1:20">
      <c r="B14" t="s">
        <v>140</v>
      </c>
      <c r="C14" s="268">
        <v>158500</v>
      </c>
      <c r="D14" s="268">
        <v>159500</v>
      </c>
      <c r="E14" s="268">
        <v>161000</v>
      </c>
      <c r="F14" s="268">
        <v>162000</v>
      </c>
      <c r="G14" s="268">
        <v>163500</v>
      </c>
      <c r="H14" s="268">
        <v>165000</v>
      </c>
      <c r="I14" s="268">
        <v>166000</v>
      </c>
      <c r="J14" s="268">
        <v>167500</v>
      </c>
      <c r="K14" s="268">
        <v>168500</v>
      </c>
      <c r="L14" s="268">
        <v>170000</v>
      </c>
      <c r="M14" s="268">
        <v>171000</v>
      </c>
      <c r="N14" s="268">
        <v>172500</v>
      </c>
      <c r="O14" s="3">
        <f>SUM(C14:N14)</f>
        <v>1985000</v>
      </c>
      <c r="Q14" t="s">
        <v>160</v>
      </c>
      <c r="T14" s="24">
        <f>O14-O22</f>
        <v>383850</v>
      </c>
    </row>
    <row r="15" spans="1:20">
      <c r="B15" t="s">
        <v>170</v>
      </c>
      <c r="C15" s="2">
        <v>3150</v>
      </c>
      <c r="D15" s="2">
        <v>3150</v>
      </c>
      <c r="E15" s="2">
        <v>3150</v>
      </c>
      <c r="F15" s="2">
        <v>3150</v>
      </c>
      <c r="G15" s="2">
        <v>3150</v>
      </c>
      <c r="H15" s="2">
        <v>3150</v>
      </c>
      <c r="I15" s="2">
        <v>3150</v>
      </c>
      <c r="J15" s="2">
        <v>3150</v>
      </c>
      <c r="K15" s="2">
        <v>3150</v>
      </c>
      <c r="L15" s="2">
        <v>3150</v>
      </c>
      <c r="M15" s="2">
        <v>3150</v>
      </c>
      <c r="N15" s="2">
        <v>3150</v>
      </c>
      <c r="O15" s="3"/>
      <c r="Q15" t="s">
        <v>161</v>
      </c>
      <c r="T15" s="24">
        <f>O14-O25</f>
        <v>183536</v>
      </c>
    </row>
    <row r="16" spans="1:20">
      <c r="B16" s="244" t="s">
        <v>171</v>
      </c>
      <c r="C16" s="245">
        <f>84*C$18</f>
        <v>155064</v>
      </c>
      <c r="D16" s="245">
        <f t="shared" ref="D16:N16" si="0">84*D$18</f>
        <v>156324</v>
      </c>
      <c r="E16" s="245">
        <f t="shared" si="0"/>
        <v>157584</v>
      </c>
      <c r="F16" s="245">
        <f t="shared" si="0"/>
        <v>158844</v>
      </c>
      <c r="G16" s="245">
        <f t="shared" si="0"/>
        <v>160104</v>
      </c>
      <c r="H16" s="245">
        <f t="shared" si="0"/>
        <v>161364</v>
      </c>
      <c r="I16" s="245">
        <f t="shared" si="0"/>
        <v>162624</v>
      </c>
      <c r="J16" s="245">
        <f t="shared" si="0"/>
        <v>163884</v>
      </c>
      <c r="K16" s="245">
        <f t="shared" si="0"/>
        <v>165144</v>
      </c>
      <c r="L16" s="245">
        <f t="shared" si="0"/>
        <v>166404</v>
      </c>
      <c r="M16" s="245">
        <f t="shared" si="0"/>
        <v>167664</v>
      </c>
      <c r="N16" s="245">
        <f t="shared" si="0"/>
        <v>168924</v>
      </c>
      <c r="O16" s="3"/>
    </row>
    <row r="17" spans="1:18">
      <c r="B17" s="244" t="s">
        <v>172</v>
      </c>
      <c r="C17" s="267">
        <f>C$15+C$16</f>
        <v>158214</v>
      </c>
      <c r="D17" s="267">
        <f t="shared" ref="D17:N17" si="1">D$15+D$16</f>
        <v>159474</v>
      </c>
      <c r="E17" s="267">
        <f t="shared" si="1"/>
        <v>160734</v>
      </c>
      <c r="F17" s="267">
        <f t="shared" si="1"/>
        <v>161994</v>
      </c>
      <c r="G17" s="267">
        <f t="shared" si="1"/>
        <v>163254</v>
      </c>
      <c r="H17" s="267">
        <f t="shared" si="1"/>
        <v>164514</v>
      </c>
      <c r="I17" s="267">
        <f t="shared" si="1"/>
        <v>165774</v>
      </c>
      <c r="J17" s="267">
        <f t="shared" si="1"/>
        <v>167034</v>
      </c>
      <c r="K17" s="267">
        <f t="shared" si="1"/>
        <v>168294</v>
      </c>
      <c r="L17" s="267">
        <f t="shared" si="1"/>
        <v>169554</v>
      </c>
      <c r="M17" s="267">
        <f t="shared" si="1"/>
        <v>170814</v>
      </c>
      <c r="N17" s="267">
        <f t="shared" si="1"/>
        <v>172074</v>
      </c>
      <c r="O17" s="3">
        <f>SUM(C17:N17)</f>
        <v>1981728</v>
      </c>
      <c r="P17" s="250"/>
    </row>
    <row r="18" spans="1:18">
      <c r="B18" t="s">
        <v>173</v>
      </c>
      <c r="C18" s="251">
        <f>N26+15</f>
        <v>1846</v>
      </c>
      <c r="D18" s="251">
        <f>C$18+15</f>
        <v>1861</v>
      </c>
      <c r="E18" s="251">
        <f t="shared" ref="E18:N18" si="2">D$18+15</f>
        <v>1876</v>
      </c>
      <c r="F18" s="251">
        <f t="shared" si="2"/>
        <v>1891</v>
      </c>
      <c r="G18" s="251">
        <f t="shared" si="2"/>
        <v>1906</v>
      </c>
      <c r="H18" s="251">
        <f t="shared" si="2"/>
        <v>1921</v>
      </c>
      <c r="I18" s="251">
        <f t="shared" si="2"/>
        <v>1936</v>
      </c>
      <c r="J18" s="251">
        <f t="shared" si="2"/>
        <v>1951</v>
      </c>
      <c r="K18" s="251">
        <f t="shared" si="2"/>
        <v>1966</v>
      </c>
      <c r="L18" s="251">
        <f t="shared" si="2"/>
        <v>1981</v>
      </c>
      <c r="M18" s="251">
        <f t="shared" si="2"/>
        <v>1996</v>
      </c>
      <c r="N18" s="251">
        <f t="shared" si="2"/>
        <v>2011</v>
      </c>
      <c r="O18" s="3"/>
    </row>
    <row r="19" spans="1:18">
      <c r="N19" t="s">
        <v>164</v>
      </c>
      <c r="O19" s="240">
        <f>O17-O14</f>
        <v>-3272</v>
      </c>
    </row>
    <row r="20" spans="1:18">
      <c r="A20" t="s">
        <v>123</v>
      </c>
      <c r="P20" s="248"/>
    </row>
    <row r="21" spans="1:18">
      <c r="A21" t="s">
        <v>169</v>
      </c>
      <c r="C21" t="s">
        <v>127</v>
      </c>
      <c r="D21" t="s">
        <v>159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  <c r="L21" t="s">
        <v>136</v>
      </c>
      <c r="M21" t="s">
        <v>137</v>
      </c>
      <c r="N21" t="s">
        <v>138</v>
      </c>
      <c r="P21" s="125"/>
    </row>
    <row r="22" spans="1:18">
      <c r="B22" t="s">
        <v>140</v>
      </c>
      <c r="C22" s="268">
        <v>171150</v>
      </c>
      <c r="D22" s="268">
        <v>130000</v>
      </c>
      <c r="E22" s="268">
        <v>130000</v>
      </c>
      <c r="F22" s="268">
        <v>130000</v>
      </c>
      <c r="G22" s="268">
        <v>130000</v>
      </c>
      <c r="H22" s="268">
        <v>130000</v>
      </c>
      <c r="I22" s="268">
        <v>130000</v>
      </c>
      <c r="J22" s="268">
        <v>130000</v>
      </c>
      <c r="K22" s="268">
        <v>130000</v>
      </c>
      <c r="L22" s="268">
        <v>130000</v>
      </c>
      <c r="M22" s="268">
        <v>130000</v>
      </c>
      <c r="N22" s="268">
        <v>130000</v>
      </c>
      <c r="O22" s="3">
        <f>SUM(C22:N22)</f>
        <v>1601150</v>
      </c>
    </row>
    <row r="23" spans="1:18">
      <c r="B23" t="s">
        <v>174</v>
      </c>
      <c r="C23" s="2">
        <v>3150</v>
      </c>
      <c r="D23" s="2">
        <v>3150</v>
      </c>
      <c r="E23" s="2">
        <v>3150</v>
      </c>
      <c r="F23" s="2">
        <v>3150</v>
      </c>
      <c r="G23" s="2">
        <v>3150</v>
      </c>
      <c r="H23" s="2">
        <v>3150</v>
      </c>
      <c r="I23" s="2">
        <v>3150</v>
      </c>
      <c r="J23" s="2">
        <v>3150</v>
      </c>
      <c r="K23" s="2">
        <v>3150</v>
      </c>
      <c r="L23" s="2">
        <v>3150</v>
      </c>
      <c r="M23" s="2">
        <v>3150</v>
      </c>
      <c r="N23" s="2">
        <v>3150</v>
      </c>
      <c r="O23" s="3"/>
    </row>
    <row r="24" spans="1:18">
      <c r="B24" s="244" t="s">
        <v>175</v>
      </c>
      <c r="C24" s="245">
        <v>138516</v>
      </c>
      <c r="D24" s="245">
        <v>140028</v>
      </c>
      <c r="E24" s="245">
        <v>145320</v>
      </c>
      <c r="F24" s="245">
        <v>145740</v>
      </c>
      <c r="G24" s="245">
        <v>145488</v>
      </c>
      <c r="H24" s="245">
        <v>146160</v>
      </c>
      <c r="I24" s="245">
        <v>146664</v>
      </c>
      <c r="J24" s="246">
        <v>148092</v>
      </c>
      <c r="K24" s="191">
        <v>150024</v>
      </c>
      <c r="L24" s="249">
        <f>84*L$26</f>
        <v>151284</v>
      </c>
      <c r="M24" s="249">
        <f t="shared" ref="M24:N24" si="3">84*M$26</f>
        <v>152544</v>
      </c>
      <c r="N24" s="249">
        <f t="shared" si="3"/>
        <v>153804</v>
      </c>
      <c r="O24" s="3"/>
    </row>
    <row r="25" spans="1:18">
      <c r="B25" s="244" t="s">
        <v>172</v>
      </c>
      <c r="C25" s="267">
        <f>C$24+C$23</f>
        <v>141666</v>
      </c>
      <c r="D25" s="267">
        <f t="shared" ref="D25:N25" si="4">D$24+D$23</f>
        <v>143178</v>
      </c>
      <c r="E25" s="267">
        <f t="shared" si="4"/>
        <v>148470</v>
      </c>
      <c r="F25" s="267">
        <f t="shared" si="4"/>
        <v>148890</v>
      </c>
      <c r="G25" s="267">
        <f t="shared" si="4"/>
        <v>148638</v>
      </c>
      <c r="H25" s="267">
        <f t="shared" si="4"/>
        <v>149310</v>
      </c>
      <c r="I25" s="267">
        <f t="shared" si="4"/>
        <v>149814</v>
      </c>
      <c r="J25" s="267">
        <f t="shared" si="4"/>
        <v>151242</v>
      </c>
      <c r="K25" s="267">
        <f t="shared" si="4"/>
        <v>153174</v>
      </c>
      <c r="L25" s="267">
        <f t="shared" si="4"/>
        <v>154434</v>
      </c>
      <c r="M25" s="267">
        <f t="shared" si="4"/>
        <v>155694</v>
      </c>
      <c r="N25" s="267">
        <f t="shared" si="4"/>
        <v>156954</v>
      </c>
      <c r="O25" s="3">
        <f>SUM(C25:N25)</f>
        <v>1801464</v>
      </c>
      <c r="P25" t="s">
        <v>176</v>
      </c>
      <c r="Q25" s="250">
        <f>O25/12</f>
        <v>150122</v>
      </c>
    </row>
    <row r="26" spans="1:18">
      <c r="B26" t="s">
        <v>173</v>
      </c>
      <c r="C26" s="247">
        <v>1649</v>
      </c>
      <c r="D26" s="247">
        <v>1667</v>
      </c>
      <c r="E26" s="247">
        <v>1730</v>
      </c>
      <c r="F26" s="247">
        <v>1735</v>
      </c>
      <c r="G26" s="247">
        <v>1732</v>
      </c>
      <c r="H26" s="247">
        <v>1740</v>
      </c>
      <c r="I26" s="247">
        <v>1746</v>
      </c>
      <c r="J26" s="248">
        <v>1763</v>
      </c>
      <c r="K26" s="125">
        <v>1786</v>
      </c>
      <c r="L26" s="3">
        <f>K26+15</f>
        <v>1801</v>
      </c>
      <c r="M26" s="3">
        <f>L26+15</f>
        <v>1816</v>
      </c>
      <c r="N26" s="3">
        <f>M26+15</f>
        <v>1831</v>
      </c>
      <c r="O26" s="3">
        <f>K26-C26</f>
        <v>137</v>
      </c>
      <c r="P26" t="s">
        <v>177</v>
      </c>
      <c r="Q26">
        <f>O26/9</f>
        <v>15.222222222222221</v>
      </c>
      <c r="R26" t="s">
        <v>176</v>
      </c>
    </row>
    <row r="27" spans="1:18">
      <c r="K27">
        <f>K26-J26</f>
        <v>23</v>
      </c>
      <c r="N27" t="s">
        <v>164</v>
      </c>
      <c r="O27" s="240">
        <f>O25-O22</f>
        <v>200314</v>
      </c>
      <c r="P27" t="s">
        <v>163</v>
      </c>
    </row>
    <row r="28" spans="1:18">
      <c r="B28" t="s">
        <v>178</v>
      </c>
      <c r="C28" s="134">
        <v>139734</v>
      </c>
      <c r="D28" s="134">
        <v>141666</v>
      </c>
      <c r="E28" s="134">
        <v>143178</v>
      </c>
      <c r="F28" s="134">
        <v>148470</v>
      </c>
      <c r="G28" s="134">
        <v>148890</v>
      </c>
      <c r="H28" s="265"/>
      <c r="I28" s="265"/>
      <c r="J28" s="134">
        <v>149814</v>
      </c>
      <c r="K28" s="265"/>
      <c r="L28" s="265"/>
      <c r="M28" s="265">
        <v>130000</v>
      </c>
      <c r="N28" s="266">
        <v>130000</v>
      </c>
    </row>
    <row r="29" spans="1:18">
      <c r="D29" t="s">
        <v>147</v>
      </c>
      <c r="H29" t="s">
        <v>123</v>
      </c>
    </row>
    <row r="30" spans="1:18">
      <c r="D30" t="s">
        <v>152</v>
      </c>
      <c r="E30" t="s">
        <v>153</v>
      </c>
      <c r="H30" t="s">
        <v>152</v>
      </c>
      <c r="I30" t="s">
        <v>153</v>
      </c>
    </row>
    <row r="31" spans="1:18">
      <c r="D31">
        <v>3000</v>
      </c>
      <c r="E31">
        <v>1</v>
      </c>
      <c r="F31">
        <f>D31*E31</f>
        <v>3000</v>
      </c>
      <c r="H31" s="2">
        <v>3150</v>
      </c>
      <c r="I31" s="2">
        <v>1</v>
      </c>
      <c r="J31" s="2">
        <f>H31*I31</f>
        <v>3150</v>
      </c>
    </row>
    <row r="32" spans="1:18">
      <c r="D32" t="s">
        <v>167</v>
      </c>
      <c r="E32" t="s">
        <v>153</v>
      </c>
      <c r="F32" t="s">
        <v>141</v>
      </c>
      <c r="H32" t="s">
        <v>168</v>
      </c>
      <c r="I32" t="s">
        <v>153</v>
      </c>
    </row>
    <row r="33" spans="1:15">
      <c r="D33" s="2">
        <v>80</v>
      </c>
      <c r="E33">
        <v>1495</v>
      </c>
      <c r="F33" s="2">
        <f>E33*D33</f>
        <v>119600</v>
      </c>
      <c r="H33" s="2">
        <v>84</v>
      </c>
      <c r="I33">
        <v>1500</v>
      </c>
      <c r="J33" s="2">
        <f>I33*H33</f>
        <v>126000</v>
      </c>
    </row>
    <row r="34" spans="1:15">
      <c r="D34" t="s">
        <v>126</v>
      </c>
      <c r="E34" s="2">
        <f>D33*E33</f>
        <v>119600</v>
      </c>
      <c r="F34">
        <f>F33*12</f>
        <v>1435200</v>
      </c>
      <c r="H34" s="25" t="s">
        <v>126</v>
      </c>
      <c r="I34" s="26"/>
      <c r="J34" s="26">
        <f>J33+J31</f>
        <v>129150</v>
      </c>
    </row>
    <row r="35" spans="1:15">
      <c r="H35" s="25" t="s">
        <v>156</v>
      </c>
      <c r="I35" s="26"/>
      <c r="J35" s="26">
        <f>J34*12</f>
        <v>1549800</v>
      </c>
    </row>
    <row r="36" spans="1:15">
      <c r="A36" t="s">
        <v>123</v>
      </c>
    </row>
    <row r="37" spans="1:15">
      <c r="A37" t="s">
        <v>169</v>
      </c>
      <c r="C37" t="s">
        <v>127</v>
      </c>
      <c r="D37" t="s">
        <v>159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</row>
    <row r="38" spans="1:15">
      <c r="B38" t="s">
        <v>140</v>
      </c>
      <c r="C38" s="124">
        <f t="shared" ref="C38:N38" si="5">$J$10</f>
        <v>171150</v>
      </c>
      <c r="D38" s="124">
        <f t="shared" si="5"/>
        <v>171150</v>
      </c>
      <c r="E38" s="124">
        <f t="shared" si="5"/>
        <v>171150</v>
      </c>
      <c r="F38" s="124">
        <f t="shared" si="5"/>
        <v>171150</v>
      </c>
      <c r="G38" s="124">
        <f t="shared" si="5"/>
        <v>171150</v>
      </c>
      <c r="H38" s="124">
        <f t="shared" si="5"/>
        <v>171150</v>
      </c>
      <c r="I38" s="124">
        <f t="shared" si="5"/>
        <v>171150</v>
      </c>
      <c r="J38" s="124">
        <f t="shared" si="5"/>
        <v>171150</v>
      </c>
      <c r="K38" s="124">
        <f t="shared" si="5"/>
        <v>171150</v>
      </c>
      <c r="L38" s="124">
        <f t="shared" si="5"/>
        <v>171150</v>
      </c>
      <c r="M38" s="124">
        <f t="shared" si="5"/>
        <v>171150</v>
      </c>
      <c r="N38" s="124">
        <f t="shared" si="5"/>
        <v>171150</v>
      </c>
      <c r="O38" s="3">
        <f>SUM(C38:N38)</f>
        <v>2053800</v>
      </c>
    </row>
    <row r="39" spans="1:15">
      <c r="B39" t="s">
        <v>141</v>
      </c>
      <c r="C39" s="2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>
        <f>SUM(C39:N39)</f>
        <v>0</v>
      </c>
    </row>
    <row r="40" spans="1:15">
      <c r="N40" t="s">
        <v>164</v>
      </c>
      <c r="O40" s="3">
        <f>O39-O38</f>
        <v>-2053800</v>
      </c>
    </row>
  </sheetData>
  <phoneticPr fontId="6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BC8C-C728-4243-BFD8-73CB10C925B4}">
  <sheetPr codeName="Sheet37">
    <tabColor rgb="FFFFC000"/>
  </sheetPr>
  <dimension ref="A1:S23"/>
  <sheetViews>
    <sheetView zoomScale="70" zoomScaleNormal="70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1" spans="1:19">
      <c r="C1" t="s">
        <v>179</v>
      </c>
      <c r="D1" s="114" t="s">
        <v>180</v>
      </c>
    </row>
    <row r="5" spans="1:19">
      <c r="D5" t="s">
        <v>147</v>
      </c>
      <c r="H5" t="s">
        <v>123</v>
      </c>
      <c r="L5" t="s">
        <v>124</v>
      </c>
    </row>
    <row r="6" spans="1:19">
      <c r="D6" t="s">
        <v>152</v>
      </c>
      <c r="E6" t="s">
        <v>153</v>
      </c>
      <c r="H6" t="s">
        <v>152</v>
      </c>
      <c r="I6" t="s">
        <v>153</v>
      </c>
      <c r="L6" t="s">
        <v>152</v>
      </c>
      <c r="M6" t="s">
        <v>153</v>
      </c>
    </row>
    <row r="7" spans="1:19">
      <c r="D7">
        <v>6300</v>
      </c>
      <c r="E7">
        <v>1</v>
      </c>
      <c r="F7">
        <f>D7*E7</f>
        <v>6300</v>
      </c>
      <c r="H7" s="2">
        <v>6300</v>
      </c>
      <c r="I7" s="2">
        <v>1</v>
      </c>
      <c r="J7" s="2">
        <f>H7*I7</f>
        <v>6300</v>
      </c>
      <c r="L7" s="2">
        <v>6300</v>
      </c>
      <c r="M7" s="2">
        <v>1</v>
      </c>
      <c r="N7" s="2">
        <f>L7*M7</f>
        <v>6300</v>
      </c>
    </row>
    <row r="9" spans="1:19">
      <c r="D9" s="2"/>
      <c r="F9" s="2"/>
      <c r="H9" s="2"/>
      <c r="J9" s="2"/>
    </row>
    <row r="10" spans="1:19">
      <c r="E10" s="2"/>
      <c r="H10" t="s">
        <v>126</v>
      </c>
      <c r="I10" s="11"/>
      <c r="J10" s="11">
        <f>J9+J7</f>
        <v>6300</v>
      </c>
      <c r="L10" s="25" t="s">
        <v>126</v>
      </c>
      <c r="M10" s="25"/>
      <c r="N10" s="26">
        <f>N9+N7</f>
        <v>6300</v>
      </c>
    </row>
    <row r="11" spans="1:19">
      <c r="H11" t="s">
        <v>156</v>
      </c>
      <c r="I11" s="11"/>
      <c r="J11" s="11">
        <f>J10*12</f>
        <v>75600</v>
      </c>
      <c r="L11" s="25" t="s">
        <v>156</v>
      </c>
      <c r="M11" s="25"/>
      <c r="N11" s="26">
        <f>N10*12</f>
        <v>75600</v>
      </c>
    </row>
    <row r="12" spans="1:19">
      <c r="A12" t="s">
        <v>124</v>
      </c>
    </row>
    <row r="13" spans="1:19">
      <c r="A13" t="s">
        <v>181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9">
      <c r="B14" t="s">
        <v>140</v>
      </c>
      <c r="C14" s="26">
        <f>$J$10</f>
        <v>6300</v>
      </c>
      <c r="D14" s="26">
        <f t="shared" ref="D14:N14" si="0">$J$10</f>
        <v>6300</v>
      </c>
      <c r="E14" s="26">
        <f t="shared" si="0"/>
        <v>6300</v>
      </c>
      <c r="F14" s="26">
        <f t="shared" si="0"/>
        <v>6300</v>
      </c>
      <c r="G14" s="26">
        <f t="shared" si="0"/>
        <v>6300</v>
      </c>
      <c r="H14" s="26">
        <f t="shared" si="0"/>
        <v>6300</v>
      </c>
      <c r="I14" s="26">
        <f t="shared" si="0"/>
        <v>6300</v>
      </c>
      <c r="J14" s="26">
        <f t="shared" si="0"/>
        <v>6300</v>
      </c>
      <c r="K14" s="26">
        <f t="shared" si="0"/>
        <v>6300</v>
      </c>
      <c r="L14" s="26">
        <f t="shared" si="0"/>
        <v>6300</v>
      </c>
      <c r="M14" s="26">
        <f t="shared" si="0"/>
        <v>6300</v>
      </c>
      <c r="N14" s="26">
        <f t="shared" si="0"/>
        <v>6300</v>
      </c>
      <c r="O14" s="3">
        <f>SUM(C14:N14)</f>
        <v>75600</v>
      </c>
      <c r="P14" t="s">
        <v>160</v>
      </c>
      <c r="S14" s="3">
        <f>O14-O20</f>
        <v>0</v>
      </c>
    </row>
    <row r="15" spans="1:19">
      <c r="B15" t="s">
        <v>141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>
        <f>SUM(C15:N15)</f>
        <v>0</v>
      </c>
      <c r="P15" t="s">
        <v>161</v>
      </c>
      <c r="S15" s="3">
        <f>O14-O21</f>
        <v>0</v>
      </c>
    </row>
    <row r="16" spans="1:1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spans="1:1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>
      <c r="A18" t="s">
        <v>123</v>
      </c>
    </row>
    <row r="19" spans="1:15">
      <c r="A19" t="s">
        <v>181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182</v>
      </c>
      <c r="C20" s="11">
        <f>$J$10</f>
        <v>6300</v>
      </c>
      <c r="D20" s="11">
        <f t="shared" ref="D20:N20" si="1">$J$10</f>
        <v>6300</v>
      </c>
      <c r="E20" s="11">
        <f t="shared" si="1"/>
        <v>6300</v>
      </c>
      <c r="F20" s="11">
        <f t="shared" si="1"/>
        <v>6300</v>
      </c>
      <c r="G20" s="11">
        <f t="shared" si="1"/>
        <v>6300</v>
      </c>
      <c r="H20" s="11">
        <f t="shared" si="1"/>
        <v>6300</v>
      </c>
      <c r="I20" s="11">
        <f t="shared" si="1"/>
        <v>6300</v>
      </c>
      <c r="J20" s="11">
        <f t="shared" si="1"/>
        <v>6300</v>
      </c>
      <c r="K20" s="11">
        <f t="shared" si="1"/>
        <v>6300</v>
      </c>
      <c r="L20" s="11">
        <f t="shared" si="1"/>
        <v>6300</v>
      </c>
      <c r="M20" s="11">
        <f t="shared" si="1"/>
        <v>6300</v>
      </c>
      <c r="N20" s="11">
        <f t="shared" si="1"/>
        <v>6300</v>
      </c>
      <c r="O20" s="3">
        <f>SUM(C20:N20)</f>
        <v>75600</v>
      </c>
    </row>
    <row r="21" spans="1:15">
      <c r="B21" t="s">
        <v>141</v>
      </c>
      <c r="C21" s="2">
        <v>6300</v>
      </c>
      <c r="D21" s="2">
        <v>6300</v>
      </c>
      <c r="E21" s="2">
        <v>6300</v>
      </c>
      <c r="F21" s="2">
        <v>6300</v>
      </c>
      <c r="G21" s="2">
        <v>6300</v>
      </c>
      <c r="H21" s="2">
        <v>6300</v>
      </c>
      <c r="I21" s="2">
        <v>6300</v>
      </c>
      <c r="J21" s="2">
        <v>6300</v>
      </c>
      <c r="K21" s="2">
        <v>6300</v>
      </c>
      <c r="L21" s="2">
        <v>6300</v>
      </c>
      <c r="M21" s="2">
        <v>6300</v>
      </c>
      <c r="N21" s="2">
        <v>6300</v>
      </c>
      <c r="O21" s="3">
        <f>SUM(C21:N21)</f>
        <v>75600</v>
      </c>
    </row>
    <row r="22" spans="1:15">
      <c r="N22" t="s">
        <v>164</v>
      </c>
      <c r="O22" s="3">
        <f>O21-O20</f>
        <v>0</v>
      </c>
    </row>
    <row r="23" spans="1:15">
      <c r="B23" t="s">
        <v>183</v>
      </c>
      <c r="C23" s="134">
        <v>6300</v>
      </c>
      <c r="D23" s="134">
        <v>6300</v>
      </c>
      <c r="E23" s="265"/>
      <c r="F23" s="134">
        <v>6300</v>
      </c>
      <c r="G23" s="134">
        <v>6300</v>
      </c>
      <c r="H23" s="265"/>
      <c r="I23" s="265"/>
      <c r="J23" s="134">
        <v>6300</v>
      </c>
      <c r="K23" s="265"/>
      <c r="L23" s="134">
        <v>6300</v>
      </c>
      <c r="M23" s="265">
        <v>6300</v>
      </c>
      <c r="N23" s="266">
        <v>6300</v>
      </c>
    </row>
  </sheetData>
  <phoneticPr fontId="6"/>
  <hyperlinks>
    <hyperlink ref="D1" r:id="rId1" display="../../../../../:f:/r/sites/itsupport/Shared Documents/05.%E4%BA%88%E7%AE%97%E7%AE%A1%E7%90%86/2026%E5%B9%B4%E4%BA%88%E7%AE%97/%E5%AE%9F%E7%B8%BE/%E6%A0%AA%E5%BC%8F%E4%BC%9A%E7%A4%BE%E3%82%A4%E3%83%B3%E3%82%BF%E3%83%BC%E3%83%8D%E3%83%83%E3%83%88%E3%82%A4%E3%83%8B%E3%82%B7%E3%82%A2%E3%83%86%E3%82%A3%E3%83%96(IIJ)%E3%83%97%E3%83%A9%E3%82%A4%E3%83%90%E3%82%B7%E3%83%BC%E4%BF%9D%E8%AD%B7%E8%A6%8F%E5%88%B6?csf=1&amp;web=1&amp;e=RlkYxx" xr:uid="{7B7CA474-C5F0-40AA-8F3D-D1F12078339B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BFE9-83A0-46CB-AE6E-ADE575D7A3E1}">
  <sheetPr codeName="Sheet55">
    <tabColor rgb="FFFFC000"/>
  </sheetPr>
  <dimension ref="A2:P30"/>
  <sheetViews>
    <sheetView zoomScale="70" zoomScaleNormal="70" workbookViewId="0">
      <selection activeCell="K20" sqref="K20"/>
    </sheetView>
  </sheetViews>
  <sheetFormatPr defaultRowHeight="18"/>
  <cols>
    <col min="1" max="1" width="18.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2" spans="1:15">
      <c r="D2" t="s">
        <v>184</v>
      </c>
    </row>
    <row r="3" spans="1:15">
      <c r="D3" t="s">
        <v>185</v>
      </c>
    </row>
    <row r="4" spans="1:15">
      <c r="M4" s="331" t="s">
        <v>186</v>
      </c>
      <c r="N4" s="331"/>
      <c r="O4" s="331"/>
    </row>
    <row r="5" spans="1:15">
      <c r="D5" t="s">
        <v>147</v>
      </c>
      <c r="H5" t="s">
        <v>123</v>
      </c>
      <c r="M5" s="329" t="s">
        <v>187</v>
      </c>
      <c r="N5" s="331"/>
      <c r="O5" s="331"/>
    </row>
    <row r="6" spans="1:15">
      <c r="D6" t="s">
        <v>188</v>
      </c>
      <c r="E6" t="s">
        <v>153</v>
      </c>
      <c r="H6" t="s">
        <v>188</v>
      </c>
      <c r="I6" t="s">
        <v>153</v>
      </c>
      <c r="M6" s="330" t="s">
        <v>189</v>
      </c>
      <c r="N6" s="331"/>
      <c r="O6" s="331"/>
    </row>
    <row r="7" spans="1:15">
      <c r="D7" s="2"/>
      <c r="F7" s="2">
        <f>D7*E7</f>
        <v>0</v>
      </c>
      <c r="H7" s="2">
        <v>45000</v>
      </c>
      <c r="I7" s="2">
        <v>1</v>
      </c>
      <c r="J7" s="2">
        <f>H7*I7</f>
        <v>45000</v>
      </c>
      <c r="M7" s="330" t="s">
        <v>190</v>
      </c>
      <c r="N7" s="331"/>
      <c r="O7" s="331"/>
    </row>
    <row r="8" spans="1:15">
      <c r="M8" s="331"/>
      <c r="N8" s="331"/>
      <c r="O8" s="331"/>
    </row>
    <row r="9" spans="1:15">
      <c r="D9" s="2"/>
      <c r="F9" s="2"/>
      <c r="H9" s="2"/>
      <c r="J9" s="2"/>
    </row>
    <row r="10" spans="1:15">
      <c r="E10" s="2"/>
      <c r="H10" s="25" t="s">
        <v>126</v>
      </c>
      <c r="I10" s="26"/>
      <c r="J10" s="26">
        <f>J9+J7</f>
        <v>45000</v>
      </c>
    </row>
    <row r="11" spans="1:15">
      <c r="H11" s="25" t="s">
        <v>156</v>
      </c>
      <c r="I11" s="26"/>
      <c r="J11" s="26">
        <f>J10*12</f>
        <v>540000</v>
      </c>
    </row>
    <row r="12" spans="1:15">
      <c r="A12" t="s">
        <v>124</v>
      </c>
    </row>
    <row r="13" spans="1:15">
      <c r="A13" t="s">
        <v>191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3">
        <f>SUM(C14:N14)</f>
        <v>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N16" t="s">
        <v>164</v>
      </c>
      <c r="O16" s="3">
        <f>O15-O14</f>
        <v>0</v>
      </c>
    </row>
    <row r="18" spans="1:16">
      <c r="A18" t="s">
        <v>123</v>
      </c>
    </row>
    <row r="19" spans="1:16">
      <c r="A19" t="s">
        <v>191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6">
      <c r="B20" t="s">
        <v>140</v>
      </c>
      <c r="C20" s="124">
        <f>$J$10</f>
        <v>45000</v>
      </c>
      <c r="D20" s="124">
        <f t="shared" ref="D20:N20" si="0">$J$10</f>
        <v>45000</v>
      </c>
      <c r="E20" s="124">
        <f t="shared" si="0"/>
        <v>45000</v>
      </c>
      <c r="F20" s="124">
        <f t="shared" si="0"/>
        <v>45000</v>
      </c>
      <c r="G20" s="124">
        <f t="shared" si="0"/>
        <v>45000</v>
      </c>
      <c r="H20" s="124">
        <f t="shared" si="0"/>
        <v>45000</v>
      </c>
      <c r="I20" s="124">
        <f t="shared" si="0"/>
        <v>45000</v>
      </c>
      <c r="J20" s="124">
        <f t="shared" si="0"/>
        <v>45000</v>
      </c>
      <c r="K20" s="124">
        <f t="shared" si="0"/>
        <v>45000</v>
      </c>
      <c r="L20" s="124">
        <f t="shared" si="0"/>
        <v>45000</v>
      </c>
      <c r="M20" s="124">
        <f t="shared" si="0"/>
        <v>45000</v>
      </c>
      <c r="N20" s="124">
        <f t="shared" si="0"/>
        <v>45000</v>
      </c>
      <c r="O20" s="3">
        <f>SUM(C20:N20)</f>
        <v>540000</v>
      </c>
    </row>
    <row r="21" spans="1:16">
      <c r="B21" t="s">
        <v>141</v>
      </c>
      <c r="C21" s="2">
        <v>40355</v>
      </c>
      <c r="D21" s="2">
        <v>7791</v>
      </c>
      <c r="E21" s="2">
        <v>50091</v>
      </c>
      <c r="F21" s="2">
        <v>50091</v>
      </c>
      <c r="G21" s="2">
        <v>40028</v>
      </c>
      <c r="H21" s="2">
        <v>40028</v>
      </c>
      <c r="I21" s="2">
        <v>40028</v>
      </c>
      <c r="J21" s="3">
        <v>40028</v>
      </c>
      <c r="K21" s="3">
        <v>95655</v>
      </c>
      <c r="L21" s="3">
        <v>97473</v>
      </c>
      <c r="M21" s="3">
        <v>45000</v>
      </c>
      <c r="N21" s="3">
        <v>45000</v>
      </c>
      <c r="O21" s="3">
        <f>SUM(C21:N21)</f>
        <v>591568</v>
      </c>
    </row>
    <row r="22" spans="1:16">
      <c r="N22" t="s">
        <v>164</v>
      </c>
      <c r="O22" s="3">
        <f>O21-O20</f>
        <v>51568</v>
      </c>
    </row>
    <row r="24" spans="1:16">
      <c r="C24" t="s">
        <v>192</v>
      </c>
    </row>
    <row r="25" spans="1:16">
      <c r="A25" t="s">
        <v>193</v>
      </c>
      <c r="B25" s="1">
        <v>23760</v>
      </c>
      <c r="C25" s="199">
        <v>36</v>
      </c>
      <c r="D25" s="200">
        <f>B25*12</f>
        <v>285120</v>
      </c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P25" s="2"/>
    </row>
    <row r="26" spans="1:16">
      <c r="A26" t="s">
        <v>194</v>
      </c>
      <c r="B26" s="1">
        <v>23364</v>
      </c>
      <c r="C26" s="199">
        <v>36</v>
      </c>
      <c r="D26" s="200">
        <f>B26*12</f>
        <v>280368</v>
      </c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P26" s="2"/>
    </row>
    <row r="27" spans="1:16">
      <c r="D27" s="3">
        <f>SUM(D25:D26)</f>
        <v>565488</v>
      </c>
      <c r="P27" s="2"/>
    </row>
    <row r="29" spans="1:16">
      <c r="C29" s="1"/>
    </row>
    <row r="30" spans="1:16">
      <c r="C30" s="1"/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25FD-D091-4F41-B9C0-A6528CACF103}">
  <sheetPr>
    <tabColor rgb="FFFFC000"/>
  </sheetPr>
  <dimension ref="A2:O22"/>
  <sheetViews>
    <sheetView topLeftCell="A7" workbookViewId="0">
      <selection activeCell="K20" sqref="K20"/>
    </sheetView>
  </sheetViews>
  <sheetFormatPr defaultRowHeight="18"/>
  <cols>
    <col min="1" max="1" width="18.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2" spans="1:15">
      <c r="C2" t="s">
        <v>195</v>
      </c>
      <c r="D2" s="114" t="s">
        <v>196</v>
      </c>
    </row>
    <row r="5" spans="1:15">
      <c r="D5" t="s">
        <v>147</v>
      </c>
      <c r="H5" t="s">
        <v>123</v>
      </c>
    </row>
    <row r="6" spans="1:15">
      <c r="D6" t="s">
        <v>188</v>
      </c>
      <c r="E6" t="s">
        <v>153</v>
      </c>
      <c r="H6" t="s">
        <v>188</v>
      </c>
      <c r="I6" t="s">
        <v>153</v>
      </c>
    </row>
    <row r="7" spans="1:15">
      <c r="D7" s="2">
        <v>200000</v>
      </c>
      <c r="E7">
        <v>2</v>
      </c>
      <c r="F7" s="2">
        <f>D7*E7</f>
        <v>400000</v>
      </c>
      <c r="H7" s="2">
        <v>210000</v>
      </c>
      <c r="I7" s="2">
        <v>2</v>
      </c>
      <c r="J7" s="2">
        <f>H7*I7</f>
        <v>420000</v>
      </c>
    </row>
    <row r="9" spans="1:15">
      <c r="D9" s="2"/>
      <c r="F9" s="2"/>
      <c r="H9" s="2"/>
      <c r="J9" s="2"/>
    </row>
    <row r="10" spans="1:15">
      <c r="E10" s="2"/>
      <c r="H10" s="25" t="s">
        <v>126</v>
      </c>
      <c r="I10" s="26"/>
      <c r="J10" s="26">
        <f>J11/12</f>
        <v>35000</v>
      </c>
    </row>
    <row r="11" spans="1:15">
      <c r="H11" s="25" t="s">
        <v>156</v>
      </c>
      <c r="I11" s="26"/>
      <c r="J11" s="26">
        <f>J7</f>
        <v>420000</v>
      </c>
    </row>
    <row r="12" spans="1:15">
      <c r="A12" t="s">
        <v>124</v>
      </c>
    </row>
    <row r="13" spans="1:15">
      <c r="A13" t="s">
        <v>197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>
        <f>$J$10</f>
        <v>35000</v>
      </c>
      <c r="D14" s="124">
        <f t="shared" ref="D14:N14" si="0">$J$10</f>
        <v>35000</v>
      </c>
      <c r="E14" s="124">
        <f t="shared" si="0"/>
        <v>35000</v>
      </c>
      <c r="F14" s="124">
        <f t="shared" si="0"/>
        <v>35000</v>
      </c>
      <c r="G14" s="124">
        <f t="shared" si="0"/>
        <v>35000</v>
      </c>
      <c r="H14" s="124">
        <f t="shared" si="0"/>
        <v>35000</v>
      </c>
      <c r="I14" s="124">
        <f t="shared" si="0"/>
        <v>35000</v>
      </c>
      <c r="J14" s="124">
        <f t="shared" si="0"/>
        <v>35000</v>
      </c>
      <c r="K14" s="124">
        <f t="shared" si="0"/>
        <v>35000</v>
      </c>
      <c r="L14" s="124">
        <f t="shared" si="0"/>
        <v>35000</v>
      </c>
      <c r="M14" s="124">
        <f t="shared" si="0"/>
        <v>35000</v>
      </c>
      <c r="N14" s="124">
        <f t="shared" si="0"/>
        <v>35000</v>
      </c>
      <c r="O14" s="3">
        <f>SUM(C14:N14)</f>
        <v>420000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</row>
    <row r="17" spans="1:15">
      <c r="A17" t="s">
        <v>198</v>
      </c>
      <c r="N17" t="s">
        <v>164</v>
      </c>
      <c r="O17" s="3">
        <f>O15-O14</f>
        <v>-420000</v>
      </c>
    </row>
    <row r="18" spans="1:15">
      <c r="A18" t="s">
        <v>123</v>
      </c>
    </row>
    <row r="19" spans="1:15">
      <c r="A19" t="s">
        <v>197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3">
        <f>SUM(C20:N20)</f>
        <v>0</v>
      </c>
    </row>
    <row r="21" spans="1:15">
      <c r="B21" t="s">
        <v>141</v>
      </c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>
        <f>SUM(C21:N21)</f>
        <v>0</v>
      </c>
    </row>
    <row r="22" spans="1:15">
      <c r="N22" t="s">
        <v>164</v>
      </c>
      <c r="O22" s="3">
        <f>O21-O20</f>
        <v>0</v>
      </c>
    </row>
  </sheetData>
  <phoneticPr fontId="6"/>
  <hyperlinks>
    <hyperlink ref="D2" r:id="rId1" display="https://www.lenovo.com/jp/ja/configurator/cto/index.html?bundleId=21LUCTO1WWJP2" xr:uid="{147AB3F7-067E-4560-86D4-56CB987163FB}"/>
  </hyperlinks>
  <pageMargins left="0.7" right="0.7" top="0.75" bottom="0.75" header="0.3" footer="0.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EAFE-B551-40AD-A3A8-2E709FF04823}">
  <sheetPr>
    <tabColor theme="4"/>
  </sheetPr>
  <dimension ref="A1:AW127"/>
  <sheetViews>
    <sheetView topLeftCell="Q3" workbookViewId="0">
      <selection activeCell="AD3" sqref="AD3"/>
    </sheetView>
  </sheetViews>
  <sheetFormatPr defaultColWidth="8.625" defaultRowHeight="18"/>
  <cols>
    <col min="1" max="1" width="8.625" style="332"/>
    <col min="2" max="2" width="32.5" style="332" customWidth="1"/>
    <col min="3" max="3" width="19" style="332" customWidth="1"/>
    <col min="4" max="4" width="4.875" style="332" bestFit="1" customWidth="1"/>
    <col min="5" max="12" width="3.875" style="332" bestFit="1" customWidth="1"/>
    <col min="13" max="15" width="4.75" style="332" bestFit="1" customWidth="1"/>
    <col min="16" max="16" width="4.5" style="332" bestFit="1" customWidth="1"/>
    <col min="17" max="17" width="8.625" style="346"/>
    <col min="18" max="18" width="14.5" style="332" bestFit="1" customWidth="1"/>
    <col min="19" max="19" width="33.875" style="332" bestFit="1" customWidth="1"/>
    <col min="20" max="20" width="10" style="332" customWidth="1"/>
    <col min="21" max="32" width="12.75" style="347" customWidth="1"/>
    <col min="33" max="34" width="11.25" style="332" customWidth="1"/>
    <col min="35" max="47" width="8.625" style="332"/>
    <col min="48" max="48" width="9.5" style="332" bestFit="1" customWidth="1"/>
    <col min="49" max="16384" width="8.625" style="332"/>
  </cols>
  <sheetData>
    <row r="1" spans="1:33">
      <c r="R1" s="332" t="s">
        <v>199</v>
      </c>
      <c r="S1" s="332" t="s">
        <v>200</v>
      </c>
    </row>
    <row r="2" spans="1:33">
      <c r="A2" s="333" t="s">
        <v>201</v>
      </c>
      <c r="B2" s="333"/>
      <c r="C2" s="333"/>
      <c r="D2" s="334" t="s">
        <v>202</v>
      </c>
      <c r="E2" s="334" t="s">
        <v>159</v>
      </c>
      <c r="F2" s="334" t="s">
        <v>129</v>
      </c>
      <c r="G2" s="334" t="s">
        <v>130</v>
      </c>
      <c r="H2" s="334" t="s">
        <v>131</v>
      </c>
      <c r="I2" s="334" t="s">
        <v>132</v>
      </c>
      <c r="J2" s="334" t="s">
        <v>133</v>
      </c>
      <c r="K2" s="334" t="s">
        <v>134</v>
      </c>
      <c r="L2" s="334" t="s">
        <v>135</v>
      </c>
      <c r="M2" s="334" t="s">
        <v>136</v>
      </c>
      <c r="N2" s="334" t="s">
        <v>137</v>
      </c>
      <c r="O2" s="334" t="s">
        <v>138</v>
      </c>
      <c r="P2" s="334" t="s">
        <v>122</v>
      </c>
      <c r="R2" s="333" t="s">
        <v>201</v>
      </c>
      <c r="S2" s="333"/>
      <c r="T2" s="333"/>
      <c r="U2" s="348" t="s">
        <v>202</v>
      </c>
      <c r="V2" s="348" t="s">
        <v>159</v>
      </c>
      <c r="W2" s="348" t="s">
        <v>129</v>
      </c>
      <c r="X2" s="348" t="s">
        <v>130</v>
      </c>
      <c r="Y2" s="348" t="s">
        <v>131</v>
      </c>
      <c r="Z2" s="348" t="s">
        <v>132</v>
      </c>
      <c r="AA2" s="348" t="s">
        <v>133</v>
      </c>
      <c r="AB2" s="348" t="s">
        <v>134</v>
      </c>
      <c r="AC2" s="348" t="s">
        <v>135</v>
      </c>
      <c r="AD2" s="348" t="s">
        <v>136</v>
      </c>
      <c r="AE2" s="348" t="s">
        <v>137</v>
      </c>
      <c r="AF2" s="348" t="s">
        <v>138</v>
      </c>
      <c r="AG2" s="334" t="s">
        <v>122</v>
      </c>
    </row>
    <row r="3" spans="1:33">
      <c r="A3" s="333"/>
      <c r="B3" s="335" t="s">
        <v>203</v>
      </c>
      <c r="C3" s="333">
        <v>3690</v>
      </c>
      <c r="D3" s="333">
        <v>1</v>
      </c>
      <c r="E3" s="333">
        <v>1</v>
      </c>
      <c r="F3" s="333">
        <v>1</v>
      </c>
      <c r="G3" s="333">
        <v>1</v>
      </c>
      <c r="H3" s="333">
        <v>1</v>
      </c>
      <c r="I3" s="333">
        <v>1</v>
      </c>
      <c r="J3" s="333">
        <v>1</v>
      </c>
      <c r="K3" s="333">
        <v>1</v>
      </c>
      <c r="L3" s="333">
        <v>1</v>
      </c>
      <c r="M3" s="333">
        <v>1</v>
      </c>
      <c r="N3" s="333">
        <v>1</v>
      </c>
      <c r="O3" s="333">
        <v>1</v>
      </c>
      <c r="P3" s="333"/>
      <c r="R3" s="333"/>
      <c r="S3" s="335" t="s">
        <v>203</v>
      </c>
      <c r="T3" s="333">
        <v>3690</v>
      </c>
      <c r="U3" s="349">
        <v>1</v>
      </c>
      <c r="V3" s="349">
        <v>1</v>
      </c>
      <c r="W3" s="349">
        <v>1</v>
      </c>
      <c r="X3" s="349">
        <v>1</v>
      </c>
      <c r="Y3" s="349">
        <v>1</v>
      </c>
      <c r="Z3" s="349">
        <v>1</v>
      </c>
      <c r="AA3" s="349">
        <v>1</v>
      </c>
      <c r="AB3" s="349">
        <v>1</v>
      </c>
      <c r="AC3" s="349">
        <v>1</v>
      </c>
      <c r="AD3" s="349">
        <v>1</v>
      </c>
      <c r="AE3" s="349">
        <v>1</v>
      </c>
      <c r="AF3" s="349">
        <v>1</v>
      </c>
      <c r="AG3" s="333"/>
    </row>
    <row r="4" spans="1:33">
      <c r="A4" s="333"/>
      <c r="B4" s="335" t="s">
        <v>204</v>
      </c>
      <c r="C4" s="333">
        <v>4130</v>
      </c>
      <c r="D4" s="333">
        <v>80</v>
      </c>
      <c r="E4" s="333">
        <v>80</v>
      </c>
      <c r="F4" s="333">
        <v>80</v>
      </c>
      <c r="G4" s="333">
        <v>80</v>
      </c>
      <c r="H4" s="333">
        <v>80</v>
      </c>
      <c r="I4" s="333">
        <v>80</v>
      </c>
      <c r="J4" s="333">
        <v>80</v>
      </c>
      <c r="K4" s="333">
        <v>80</v>
      </c>
      <c r="L4" s="333">
        <v>80</v>
      </c>
      <c r="M4" s="333">
        <v>80</v>
      </c>
      <c r="N4" s="333">
        <v>80</v>
      </c>
      <c r="O4" s="333">
        <v>80</v>
      </c>
      <c r="P4" s="333"/>
      <c r="R4" s="333"/>
      <c r="S4" s="335" t="s">
        <v>204</v>
      </c>
      <c r="T4" s="333">
        <v>4130</v>
      </c>
      <c r="U4" s="349">
        <v>80</v>
      </c>
      <c r="V4" s="349">
        <v>80</v>
      </c>
      <c r="W4" s="349">
        <v>80</v>
      </c>
      <c r="X4" s="349">
        <v>80</v>
      </c>
      <c r="Y4" s="349">
        <v>80</v>
      </c>
      <c r="Z4" s="349">
        <v>80</v>
      </c>
      <c r="AA4" s="349">
        <v>80</v>
      </c>
      <c r="AB4" s="349">
        <v>80</v>
      </c>
      <c r="AC4" s="349">
        <v>80</v>
      </c>
      <c r="AD4" s="349">
        <v>80</v>
      </c>
      <c r="AE4" s="349">
        <v>80</v>
      </c>
      <c r="AF4" s="349">
        <v>80</v>
      </c>
      <c r="AG4" s="333"/>
    </row>
    <row r="5" spans="1:33">
      <c r="A5" s="333"/>
      <c r="B5" s="335" t="s">
        <v>205</v>
      </c>
      <c r="C5" s="333">
        <v>6750</v>
      </c>
      <c r="D5" s="333">
        <v>2</v>
      </c>
      <c r="E5" s="333">
        <v>2</v>
      </c>
      <c r="F5" s="333">
        <v>2</v>
      </c>
      <c r="G5" s="333">
        <v>2</v>
      </c>
      <c r="H5" s="333">
        <v>2</v>
      </c>
      <c r="I5" s="333">
        <v>2</v>
      </c>
      <c r="J5" s="333">
        <v>2</v>
      </c>
      <c r="K5" s="333">
        <v>2</v>
      </c>
      <c r="L5" s="333">
        <v>2</v>
      </c>
      <c r="M5" s="333">
        <v>2</v>
      </c>
      <c r="N5" s="333">
        <v>2</v>
      </c>
      <c r="O5" s="333">
        <v>2</v>
      </c>
      <c r="P5" s="333"/>
      <c r="R5" s="333"/>
      <c r="S5" s="335" t="s">
        <v>205</v>
      </c>
      <c r="T5" s="333">
        <v>6750</v>
      </c>
      <c r="U5" s="349">
        <v>2</v>
      </c>
      <c r="V5" s="349">
        <v>2</v>
      </c>
      <c r="W5" s="349">
        <v>2</v>
      </c>
      <c r="X5" s="349">
        <v>2</v>
      </c>
      <c r="Y5" s="349">
        <v>2</v>
      </c>
      <c r="Z5" s="349">
        <v>2</v>
      </c>
      <c r="AA5" s="349">
        <v>2</v>
      </c>
      <c r="AB5" s="349">
        <v>2</v>
      </c>
      <c r="AC5" s="349">
        <v>2</v>
      </c>
      <c r="AD5" s="349">
        <v>2</v>
      </c>
      <c r="AE5" s="349">
        <v>2</v>
      </c>
      <c r="AF5" s="349">
        <v>2</v>
      </c>
      <c r="AG5" s="333"/>
    </row>
    <row r="6" spans="1:33">
      <c r="A6" s="333"/>
      <c r="B6" s="335" t="s">
        <v>206</v>
      </c>
      <c r="C6" s="333">
        <v>4200</v>
      </c>
      <c r="D6" s="333">
        <v>18</v>
      </c>
      <c r="E6" s="333">
        <v>18</v>
      </c>
      <c r="F6" s="333">
        <v>18</v>
      </c>
      <c r="G6" s="333">
        <v>18</v>
      </c>
      <c r="H6" s="333">
        <v>18</v>
      </c>
      <c r="I6" s="333">
        <v>18</v>
      </c>
      <c r="J6" s="333">
        <v>18</v>
      </c>
      <c r="K6" s="333">
        <v>18</v>
      </c>
      <c r="L6" s="333">
        <v>18</v>
      </c>
      <c r="M6" s="333">
        <v>18</v>
      </c>
      <c r="N6" s="333">
        <v>18</v>
      </c>
      <c r="O6" s="333">
        <v>18</v>
      </c>
      <c r="P6" s="333"/>
      <c r="R6" s="333"/>
      <c r="S6" s="335" t="s">
        <v>206</v>
      </c>
      <c r="T6" s="333">
        <v>4200</v>
      </c>
      <c r="U6" s="349">
        <v>18</v>
      </c>
      <c r="V6" s="349">
        <v>18</v>
      </c>
      <c r="W6" s="349">
        <v>18</v>
      </c>
      <c r="X6" s="349">
        <v>18</v>
      </c>
      <c r="Y6" s="349">
        <v>18</v>
      </c>
      <c r="Z6" s="349">
        <v>18</v>
      </c>
      <c r="AA6" s="349">
        <v>18</v>
      </c>
      <c r="AB6" s="349">
        <v>18</v>
      </c>
      <c r="AC6" s="349">
        <v>18</v>
      </c>
      <c r="AD6" s="349">
        <v>18</v>
      </c>
      <c r="AE6" s="349">
        <v>18</v>
      </c>
      <c r="AF6" s="349">
        <v>18</v>
      </c>
      <c r="AG6" s="333"/>
    </row>
    <row r="7" spans="1:33">
      <c r="A7" s="333"/>
      <c r="B7" s="335" t="s">
        <v>207</v>
      </c>
      <c r="C7" s="333">
        <v>4010</v>
      </c>
      <c r="D7" s="333">
        <v>70</v>
      </c>
      <c r="E7" s="333">
        <v>70</v>
      </c>
      <c r="F7" s="333">
        <v>70</v>
      </c>
      <c r="G7" s="333">
        <v>70</v>
      </c>
      <c r="H7" s="333">
        <v>70</v>
      </c>
      <c r="I7" s="333">
        <v>70</v>
      </c>
      <c r="J7" s="333">
        <v>70</v>
      </c>
      <c r="K7" s="333">
        <v>70</v>
      </c>
      <c r="L7" s="333">
        <v>70</v>
      </c>
      <c r="M7" s="333">
        <v>70</v>
      </c>
      <c r="N7" s="333">
        <v>70</v>
      </c>
      <c r="O7" s="333">
        <v>70</v>
      </c>
      <c r="P7" s="333"/>
      <c r="R7" s="333"/>
      <c r="S7" s="335" t="s">
        <v>207</v>
      </c>
      <c r="T7" s="333">
        <v>4010</v>
      </c>
      <c r="U7" s="349">
        <v>70</v>
      </c>
      <c r="V7" s="349">
        <v>70</v>
      </c>
      <c r="W7" s="349">
        <v>70</v>
      </c>
      <c r="X7" s="349">
        <v>70</v>
      </c>
      <c r="Y7" s="349">
        <v>70</v>
      </c>
      <c r="Z7" s="349">
        <v>70</v>
      </c>
      <c r="AA7" s="349">
        <v>70</v>
      </c>
      <c r="AB7" s="349">
        <v>70</v>
      </c>
      <c r="AC7" s="349">
        <v>70</v>
      </c>
      <c r="AD7" s="349">
        <v>70</v>
      </c>
      <c r="AE7" s="349">
        <v>70</v>
      </c>
      <c r="AF7" s="349">
        <v>70</v>
      </c>
      <c r="AG7" s="333"/>
    </row>
    <row r="8" spans="1:33">
      <c r="A8" s="333"/>
      <c r="B8" s="335" t="s">
        <v>208</v>
      </c>
      <c r="C8" s="333">
        <v>3800</v>
      </c>
      <c r="D8" s="333">
        <v>135</v>
      </c>
      <c r="E8" s="333">
        <v>135</v>
      </c>
      <c r="F8" s="333">
        <v>135</v>
      </c>
      <c r="G8" s="333">
        <v>135</v>
      </c>
      <c r="H8" s="333">
        <v>135</v>
      </c>
      <c r="I8" s="333">
        <v>135</v>
      </c>
      <c r="J8" s="333">
        <v>135</v>
      </c>
      <c r="K8" s="333">
        <v>135</v>
      </c>
      <c r="L8" s="333">
        <v>135</v>
      </c>
      <c r="M8" s="333">
        <v>135</v>
      </c>
      <c r="N8" s="333">
        <v>135</v>
      </c>
      <c r="O8" s="333">
        <v>135</v>
      </c>
      <c r="P8" s="333"/>
      <c r="R8" s="333"/>
      <c r="S8" s="335" t="s">
        <v>208</v>
      </c>
      <c r="T8" s="333">
        <v>3800</v>
      </c>
      <c r="U8" s="349">
        <v>135</v>
      </c>
      <c r="V8" s="349">
        <v>135</v>
      </c>
      <c r="W8" s="349">
        <v>135</v>
      </c>
      <c r="X8" s="349">
        <v>135</v>
      </c>
      <c r="Y8" s="349">
        <v>135</v>
      </c>
      <c r="Z8" s="349">
        <v>135</v>
      </c>
      <c r="AA8" s="349">
        <v>135</v>
      </c>
      <c r="AB8" s="349">
        <v>135</v>
      </c>
      <c r="AC8" s="349">
        <v>135</v>
      </c>
      <c r="AD8" s="349">
        <v>135</v>
      </c>
      <c r="AE8" s="349">
        <v>135</v>
      </c>
      <c r="AF8" s="349">
        <v>135</v>
      </c>
      <c r="AG8" s="333"/>
    </row>
    <row r="9" spans="1:33">
      <c r="A9" s="333"/>
      <c r="B9" s="335" t="s">
        <v>209</v>
      </c>
      <c r="C9" s="333">
        <v>3850</v>
      </c>
      <c r="D9" s="333">
        <v>190</v>
      </c>
      <c r="E9" s="333">
        <v>190</v>
      </c>
      <c r="F9" s="333">
        <v>190</v>
      </c>
      <c r="G9" s="333">
        <v>190</v>
      </c>
      <c r="H9" s="333">
        <v>190</v>
      </c>
      <c r="I9" s="333">
        <v>190</v>
      </c>
      <c r="J9" s="333">
        <v>190</v>
      </c>
      <c r="K9" s="333">
        <v>190</v>
      </c>
      <c r="L9" s="333">
        <v>190</v>
      </c>
      <c r="M9" s="333">
        <v>190</v>
      </c>
      <c r="N9" s="333">
        <v>190</v>
      </c>
      <c r="O9" s="333">
        <v>190</v>
      </c>
      <c r="P9" s="333"/>
      <c r="R9" s="333"/>
      <c r="S9" s="335" t="s">
        <v>209</v>
      </c>
      <c r="T9" s="333">
        <v>3850</v>
      </c>
      <c r="U9" s="349">
        <v>190</v>
      </c>
      <c r="V9" s="349">
        <v>190</v>
      </c>
      <c r="W9" s="349">
        <v>190</v>
      </c>
      <c r="X9" s="349">
        <v>190</v>
      </c>
      <c r="Y9" s="349">
        <v>190</v>
      </c>
      <c r="Z9" s="349">
        <v>190</v>
      </c>
      <c r="AA9" s="349">
        <v>190</v>
      </c>
      <c r="AB9" s="349">
        <v>190</v>
      </c>
      <c r="AC9" s="349">
        <v>190</v>
      </c>
      <c r="AD9" s="349">
        <v>190</v>
      </c>
      <c r="AE9" s="349">
        <v>190</v>
      </c>
      <c r="AF9" s="349">
        <v>190</v>
      </c>
      <c r="AG9" s="333"/>
    </row>
    <row r="10" spans="1:33">
      <c r="A10" s="333"/>
      <c r="B10" s="335" t="s">
        <v>210</v>
      </c>
      <c r="C10" s="333">
        <v>2630</v>
      </c>
      <c r="D10" s="333">
        <v>100</v>
      </c>
      <c r="E10" s="333">
        <v>100</v>
      </c>
      <c r="F10" s="333">
        <v>100</v>
      </c>
      <c r="G10" s="333">
        <v>100</v>
      </c>
      <c r="H10" s="333">
        <v>100</v>
      </c>
      <c r="I10" s="333">
        <v>100</v>
      </c>
      <c r="J10" s="333">
        <v>100</v>
      </c>
      <c r="K10" s="333">
        <v>100</v>
      </c>
      <c r="L10" s="333">
        <v>100</v>
      </c>
      <c r="M10" s="333">
        <v>100</v>
      </c>
      <c r="N10" s="333">
        <v>100</v>
      </c>
      <c r="O10" s="333">
        <v>100</v>
      </c>
      <c r="P10" s="333"/>
      <c r="R10" s="333"/>
      <c r="S10" s="335" t="s">
        <v>210</v>
      </c>
      <c r="T10" s="333">
        <v>2630</v>
      </c>
      <c r="U10" s="349">
        <v>100</v>
      </c>
      <c r="V10" s="349">
        <v>100</v>
      </c>
      <c r="W10" s="349">
        <v>100</v>
      </c>
      <c r="X10" s="349">
        <v>100</v>
      </c>
      <c r="Y10" s="349">
        <v>100</v>
      </c>
      <c r="Z10" s="349">
        <v>100</v>
      </c>
      <c r="AA10" s="349">
        <v>100</v>
      </c>
      <c r="AB10" s="349">
        <v>100</v>
      </c>
      <c r="AC10" s="349">
        <v>100</v>
      </c>
      <c r="AD10" s="349">
        <v>100</v>
      </c>
      <c r="AE10" s="349">
        <v>100</v>
      </c>
      <c r="AF10" s="349">
        <v>100</v>
      </c>
      <c r="AG10" s="333"/>
    </row>
    <row r="11" spans="1:33">
      <c r="A11" s="333"/>
      <c r="B11" s="335" t="s">
        <v>211</v>
      </c>
      <c r="C11" s="333">
        <v>4200</v>
      </c>
      <c r="D11" s="333">
        <v>1</v>
      </c>
      <c r="E11" s="333">
        <v>1</v>
      </c>
      <c r="F11" s="333">
        <v>1</v>
      </c>
      <c r="G11" s="333">
        <v>1</v>
      </c>
      <c r="H11" s="333">
        <v>1</v>
      </c>
      <c r="I11" s="333">
        <v>1</v>
      </c>
      <c r="J11" s="333">
        <v>1</v>
      </c>
      <c r="K11" s="333">
        <v>1</v>
      </c>
      <c r="L11" s="333">
        <v>1</v>
      </c>
      <c r="M11" s="333">
        <v>1</v>
      </c>
      <c r="N11" s="333">
        <v>1</v>
      </c>
      <c r="O11" s="333">
        <v>1</v>
      </c>
      <c r="P11" s="333"/>
      <c r="R11" s="333"/>
      <c r="S11" s="335" t="s">
        <v>211</v>
      </c>
      <c r="T11" s="333">
        <v>4200</v>
      </c>
      <c r="U11" s="349">
        <v>1</v>
      </c>
      <c r="V11" s="349">
        <v>1</v>
      </c>
      <c r="W11" s="349">
        <v>1</v>
      </c>
      <c r="X11" s="349">
        <v>1</v>
      </c>
      <c r="Y11" s="349">
        <v>1</v>
      </c>
      <c r="Z11" s="349">
        <v>1</v>
      </c>
      <c r="AA11" s="349">
        <v>1</v>
      </c>
      <c r="AB11" s="349">
        <v>1</v>
      </c>
      <c r="AC11" s="349">
        <v>1</v>
      </c>
      <c r="AD11" s="349">
        <v>1</v>
      </c>
      <c r="AE11" s="349">
        <v>1</v>
      </c>
      <c r="AF11" s="349">
        <v>1</v>
      </c>
      <c r="AG11" s="333"/>
    </row>
    <row r="12" spans="1:33">
      <c r="B12" s="336"/>
    </row>
    <row r="13" spans="1:33">
      <c r="S13" s="332" t="s">
        <v>200</v>
      </c>
    </row>
    <row r="14" spans="1:33">
      <c r="A14" s="337" t="s">
        <v>212</v>
      </c>
      <c r="B14" s="337"/>
      <c r="C14" s="337"/>
      <c r="D14" s="338" t="s">
        <v>202</v>
      </c>
      <c r="E14" s="338" t="s">
        <v>159</v>
      </c>
      <c r="F14" s="338" t="s">
        <v>129</v>
      </c>
      <c r="G14" s="338" t="s">
        <v>130</v>
      </c>
      <c r="H14" s="338" t="s">
        <v>131</v>
      </c>
      <c r="I14" s="338" t="s">
        <v>132</v>
      </c>
      <c r="J14" s="338" t="s">
        <v>133</v>
      </c>
      <c r="K14" s="338" t="s">
        <v>134</v>
      </c>
      <c r="L14" s="338" t="s">
        <v>135</v>
      </c>
      <c r="M14" s="338" t="s">
        <v>136</v>
      </c>
      <c r="N14" s="338" t="s">
        <v>137</v>
      </c>
      <c r="O14" s="338" t="s">
        <v>138</v>
      </c>
      <c r="P14" s="337"/>
      <c r="R14" s="337" t="s">
        <v>212</v>
      </c>
      <c r="S14" s="337"/>
      <c r="T14" s="337"/>
      <c r="U14" s="350" t="s">
        <v>202</v>
      </c>
      <c r="V14" s="350" t="s">
        <v>159</v>
      </c>
      <c r="W14" s="350" t="s">
        <v>129</v>
      </c>
      <c r="X14" s="350" t="s">
        <v>130</v>
      </c>
      <c r="Y14" s="350" t="s">
        <v>131</v>
      </c>
      <c r="Z14" s="350" t="s">
        <v>132</v>
      </c>
      <c r="AA14" s="350" t="s">
        <v>133</v>
      </c>
      <c r="AB14" s="350" t="s">
        <v>134</v>
      </c>
      <c r="AC14" s="350" t="s">
        <v>135</v>
      </c>
      <c r="AD14" s="350" t="s">
        <v>136</v>
      </c>
      <c r="AE14" s="350" t="s">
        <v>137</v>
      </c>
      <c r="AF14" s="350" t="s">
        <v>138</v>
      </c>
      <c r="AG14" s="337"/>
    </row>
    <row r="15" spans="1:33">
      <c r="A15" s="337"/>
      <c r="B15" s="339" t="s">
        <v>203</v>
      </c>
      <c r="C15" s="337">
        <v>3690</v>
      </c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7"/>
      <c r="O15" s="337"/>
      <c r="P15" s="337"/>
      <c r="R15" s="337"/>
      <c r="S15" s="339" t="s">
        <v>203</v>
      </c>
      <c r="T15" s="337">
        <v>3690</v>
      </c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37"/>
    </row>
    <row r="16" spans="1:33">
      <c r="A16" s="337"/>
      <c r="B16" s="339" t="s">
        <v>204</v>
      </c>
      <c r="C16" s="337">
        <v>4130</v>
      </c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R16" s="337"/>
      <c r="S16" s="339" t="s">
        <v>204</v>
      </c>
      <c r="T16" s="337">
        <v>4130</v>
      </c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37"/>
    </row>
    <row r="17" spans="1:47">
      <c r="A17" s="337"/>
      <c r="B17" s="339" t="s">
        <v>205</v>
      </c>
      <c r="C17" s="337">
        <v>6750</v>
      </c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R17" s="337"/>
      <c r="S17" s="339" t="s">
        <v>205</v>
      </c>
      <c r="T17" s="337">
        <v>6750</v>
      </c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37"/>
    </row>
    <row r="18" spans="1:47">
      <c r="A18" s="337"/>
      <c r="B18" s="339" t="s">
        <v>206</v>
      </c>
      <c r="C18" s="337">
        <v>4200</v>
      </c>
      <c r="D18" s="337">
        <v>15</v>
      </c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R18" s="337"/>
      <c r="S18" s="339" t="s">
        <v>206</v>
      </c>
      <c r="T18" s="337">
        <v>4200</v>
      </c>
      <c r="U18" s="351"/>
      <c r="V18" s="351">
        <v>18</v>
      </c>
      <c r="W18" s="351">
        <v>18</v>
      </c>
      <c r="X18" s="351">
        <v>18</v>
      </c>
      <c r="Y18" s="351">
        <v>18</v>
      </c>
      <c r="Z18" s="351">
        <v>18</v>
      </c>
      <c r="AA18" s="351">
        <v>18</v>
      </c>
      <c r="AB18" s="351">
        <v>18</v>
      </c>
      <c r="AC18" s="351">
        <v>18</v>
      </c>
      <c r="AD18" s="351">
        <v>18</v>
      </c>
      <c r="AE18" s="351">
        <v>18</v>
      </c>
      <c r="AF18" s="351">
        <v>18</v>
      </c>
      <c r="AG18" s="337"/>
    </row>
    <row r="19" spans="1:47">
      <c r="A19" s="337"/>
      <c r="B19" s="339" t="s">
        <v>207</v>
      </c>
      <c r="C19" s="337">
        <v>4010</v>
      </c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R19" s="337"/>
      <c r="S19" s="339" t="s">
        <v>207</v>
      </c>
      <c r="T19" s="337">
        <v>4010</v>
      </c>
      <c r="U19" s="351"/>
      <c r="V19" s="351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37"/>
    </row>
    <row r="20" spans="1:47">
      <c r="A20" s="337"/>
      <c r="B20" s="339" t="s">
        <v>208</v>
      </c>
      <c r="C20" s="337">
        <v>3800</v>
      </c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R20" s="337"/>
      <c r="S20" s="339" t="s">
        <v>208</v>
      </c>
      <c r="T20" s="337">
        <v>3800</v>
      </c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37"/>
    </row>
    <row r="21" spans="1:47">
      <c r="A21" s="337"/>
      <c r="B21" s="339" t="s">
        <v>209</v>
      </c>
      <c r="C21" s="337">
        <v>3850</v>
      </c>
      <c r="D21" s="337"/>
      <c r="E21" s="337"/>
      <c r="F21" s="337"/>
      <c r="G21" s="337">
        <v>30</v>
      </c>
      <c r="H21" s="337">
        <v>25</v>
      </c>
      <c r="I21" s="337">
        <v>50</v>
      </c>
      <c r="J21" s="337"/>
      <c r="K21" s="337"/>
      <c r="L21" s="337">
        <v>30</v>
      </c>
      <c r="M21" s="337"/>
      <c r="N21" s="337"/>
      <c r="O21" s="337"/>
      <c r="P21" s="337"/>
      <c r="R21" s="337"/>
      <c r="S21" s="339" t="s">
        <v>209</v>
      </c>
      <c r="T21" s="337">
        <v>3850</v>
      </c>
      <c r="U21" s="351"/>
      <c r="V21" s="351"/>
      <c r="W21" s="351"/>
      <c r="X21" s="351"/>
      <c r="Y21" s="351">
        <v>85</v>
      </c>
      <c r="Z21" s="351">
        <v>105</v>
      </c>
      <c r="AA21" s="351">
        <v>105</v>
      </c>
      <c r="AB21" s="351">
        <v>105</v>
      </c>
      <c r="AC21" s="351">
        <v>105</v>
      </c>
      <c r="AD21" s="351">
        <v>135</v>
      </c>
      <c r="AE21" s="351">
        <v>135</v>
      </c>
      <c r="AF21" s="351">
        <v>135</v>
      </c>
      <c r="AG21" s="337"/>
    </row>
    <row r="22" spans="1:47">
      <c r="A22" s="337"/>
      <c r="B22" s="339" t="s">
        <v>210</v>
      </c>
      <c r="C22" s="337">
        <v>2630</v>
      </c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R22" s="337"/>
      <c r="S22" s="339" t="s">
        <v>210</v>
      </c>
      <c r="T22" s="337">
        <v>2630</v>
      </c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351"/>
      <c r="AF22" s="351"/>
      <c r="AG22" s="337"/>
    </row>
    <row r="23" spans="1:47">
      <c r="A23" s="337"/>
      <c r="B23" s="339" t="s">
        <v>211</v>
      </c>
      <c r="C23" s="337">
        <v>4200</v>
      </c>
      <c r="D23" s="337">
        <v>1</v>
      </c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R23" s="337"/>
      <c r="S23" s="339" t="s">
        <v>211</v>
      </c>
      <c r="T23" s="337">
        <v>4200</v>
      </c>
      <c r="U23" s="351">
        <v>1</v>
      </c>
      <c r="V23" s="351">
        <v>1</v>
      </c>
      <c r="W23" s="351">
        <v>1</v>
      </c>
      <c r="X23" s="351">
        <v>1</v>
      </c>
      <c r="Y23" s="351">
        <v>1</v>
      </c>
      <c r="Z23" s="351">
        <v>1</v>
      </c>
      <c r="AA23" s="351">
        <v>1</v>
      </c>
      <c r="AB23" s="351">
        <v>1</v>
      </c>
      <c r="AC23" s="351">
        <v>1</v>
      </c>
      <c r="AD23" s="351">
        <v>1</v>
      </c>
      <c r="AE23" s="351">
        <v>1</v>
      </c>
      <c r="AF23" s="351">
        <v>1</v>
      </c>
      <c r="AG23" s="337"/>
    </row>
    <row r="25" spans="1:47">
      <c r="S25" s="332" t="s">
        <v>200</v>
      </c>
    </row>
    <row r="26" spans="1:47">
      <c r="A26" s="340" t="s">
        <v>213</v>
      </c>
      <c r="B26" s="340"/>
      <c r="C26" s="340"/>
      <c r="D26" s="341" t="s">
        <v>202</v>
      </c>
      <c r="E26" s="341" t="s">
        <v>159</v>
      </c>
      <c r="F26" s="341" t="s">
        <v>129</v>
      </c>
      <c r="G26" s="341" t="s">
        <v>130</v>
      </c>
      <c r="H26" s="341" t="s">
        <v>131</v>
      </c>
      <c r="I26" s="341" t="s">
        <v>132</v>
      </c>
      <c r="J26" s="341" t="s">
        <v>133</v>
      </c>
      <c r="K26" s="341" t="s">
        <v>134</v>
      </c>
      <c r="L26" s="341" t="s">
        <v>135</v>
      </c>
      <c r="M26" s="341" t="s">
        <v>136</v>
      </c>
      <c r="N26" s="341" t="s">
        <v>137</v>
      </c>
      <c r="O26" s="341" t="s">
        <v>138</v>
      </c>
      <c r="P26" s="340"/>
      <c r="R26" s="340" t="s">
        <v>213</v>
      </c>
      <c r="S26" s="340"/>
      <c r="T26" s="340"/>
      <c r="U26" s="352" t="s">
        <v>202</v>
      </c>
      <c r="V26" s="352" t="s">
        <v>159</v>
      </c>
      <c r="W26" s="352" t="s">
        <v>129</v>
      </c>
      <c r="X26" s="352" t="s">
        <v>130</v>
      </c>
      <c r="Y26" s="352" t="s">
        <v>131</v>
      </c>
      <c r="Z26" s="352" t="s">
        <v>132</v>
      </c>
      <c r="AA26" s="352" t="s">
        <v>133</v>
      </c>
      <c r="AB26" s="352" t="s">
        <v>134</v>
      </c>
      <c r="AC26" s="352" t="s">
        <v>135</v>
      </c>
      <c r="AD26" s="352" t="s">
        <v>136</v>
      </c>
      <c r="AE26" s="352" t="s">
        <v>137</v>
      </c>
      <c r="AF26" s="352" t="s">
        <v>138</v>
      </c>
      <c r="AG26" s="340"/>
      <c r="AJ26" s="332" t="s">
        <v>127</v>
      </c>
      <c r="AK26" s="332" t="s">
        <v>159</v>
      </c>
      <c r="AL26" s="332" t="s">
        <v>129</v>
      </c>
      <c r="AM26" s="332" t="s">
        <v>130</v>
      </c>
      <c r="AN26" s="332" t="s">
        <v>131</v>
      </c>
      <c r="AO26" s="332" t="s">
        <v>132</v>
      </c>
      <c r="AP26" s="332" t="s">
        <v>133</v>
      </c>
      <c r="AQ26" s="332" t="s">
        <v>134</v>
      </c>
      <c r="AR26" s="332" t="s">
        <v>135</v>
      </c>
      <c r="AS26" s="332" t="s">
        <v>136</v>
      </c>
      <c r="AT26" s="332" t="s">
        <v>137</v>
      </c>
      <c r="AU26" s="332" t="s">
        <v>138</v>
      </c>
    </row>
    <row r="27" spans="1:47">
      <c r="A27" s="340"/>
      <c r="B27" s="342" t="s">
        <v>203</v>
      </c>
      <c r="C27" s="340">
        <v>3690</v>
      </c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R27" s="340"/>
      <c r="S27" s="342" t="s">
        <v>203</v>
      </c>
      <c r="T27" s="340">
        <v>3690</v>
      </c>
      <c r="U27" s="353"/>
      <c r="V27" s="353"/>
      <c r="W27" s="353"/>
      <c r="X27" s="353"/>
      <c r="Y27" s="353"/>
      <c r="Z27" s="353"/>
      <c r="AA27" s="353"/>
      <c r="AB27" s="353"/>
      <c r="AC27" s="353"/>
      <c r="AD27" s="353"/>
      <c r="AE27" s="353"/>
      <c r="AF27" s="353"/>
      <c r="AG27" s="340"/>
    </row>
    <row r="28" spans="1:47">
      <c r="A28" s="340"/>
      <c r="B28" s="342" t="s">
        <v>204</v>
      </c>
      <c r="C28" s="340">
        <v>4130</v>
      </c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R28" s="340"/>
      <c r="S28" s="342" t="s">
        <v>204</v>
      </c>
      <c r="T28" s="340">
        <v>4130</v>
      </c>
      <c r="U28" s="353"/>
      <c r="V28" s="353"/>
      <c r="W28" s="353"/>
      <c r="X28" s="353"/>
      <c r="Y28" s="353"/>
      <c r="Z28" s="353"/>
      <c r="AA28" s="353"/>
      <c r="AB28" s="353"/>
      <c r="AC28" s="353"/>
      <c r="AD28" s="353"/>
      <c r="AE28" s="353"/>
      <c r="AF28" s="353"/>
      <c r="AG28" s="340"/>
    </row>
    <row r="29" spans="1:47">
      <c r="A29" s="340"/>
      <c r="B29" s="342" t="s">
        <v>205</v>
      </c>
      <c r="C29" s="340">
        <v>6750</v>
      </c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R29" s="340"/>
      <c r="S29" s="342" t="s">
        <v>205</v>
      </c>
      <c r="T29" s="340">
        <v>6750</v>
      </c>
      <c r="U29" s="353"/>
      <c r="V29" s="353"/>
      <c r="W29" s="353"/>
      <c r="X29" s="353"/>
      <c r="Y29" s="353"/>
      <c r="Z29" s="353"/>
      <c r="AA29" s="353"/>
      <c r="AB29" s="353"/>
      <c r="AC29" s="353"/>
      <c r="AD29" s="353"/>
      <c r="AE29" s="353"/>
      <c r="AF29" s="353"/>
      <c r="AG29" s="340"/>
    </row>
    <row r="30" spans="1:47">
      <c r="A30" s="340"/>
      <c r="B30" s="342" t="s">
        <v>206</v>
      </c>
      <c r="C30" s="340">
        <v>4200</v>
      </c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R30" s="340"/>
      <c r="S30" s="342" t="s">
        <v>206</v>
      </c>
      <c r="T30" s="340">
        <v>4200</v>
      </c>
      <c r="U30" s="353"/>
      <c r="V30" s="353"/>
      <c r="W30" s="353"/>
      <c r="X30" s="353"/>
      <c r="Y30" s="353"/>
      <c r="Z30" s="353"/>
      <c r="AA30" s="353"/>
      <c r="AB30" s="353"/>
      <c r="AC30" s="353"/>
      <c r="AD30" s="353"/>
      <c r="AE30" s="353"/>
      <c r="AF30" s="353"/>
      <c r="AG30" s="340"/>
    </row>
    <row r="31" spans="1:47">
      <c r="A31" s="340"/>
      <c r="B31" s="342" t="s">
        <v>207</v>
      </c>
      <c r="C31" s="340">
        <v>4010</v>
      </c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R31" s="340"/>
      <c r="S31" s="342" t="s">
        <v>207</v>
      </c>
      <c r="T31" s="340">
        <v>4010</v>
      </c>
      <c r="U31" s="353"/>
      <c r="V31" s="353"/>
      <c r="W31" s="353"/>
      <c r="X31" s="353"/>
      <c r="Y31" s="353"/>
      <c r="Z31" s="353"/>
      <c r="AA31" s="353"/>
      <c r="AB31" s="353"/>
      <c r="AC31" s="353"/>
      <c r="AD31" s="353"/>
      <c r="AE31" s="353"/>
      <c r="AF31" s="353"/>
      <c r="AG31" s="340"/>
    </row>
    <row r="32" spans="1:47">
      <c r="A32" s="340"/>
      <c r="B32" s="342" t="s">
        <v>208</v>
      </c>
      <c r="C32" s="340">
        <v>3800</v>
      </c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R32" s="340"/>
      <c r="S32" s="342" t="s">
        <v>208</v>
      </c>
      <c r="T32" s="340">
        <v>3800</v>
      </c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53"/>
      <c r="AF32" s="353"/>
      <c r="AG32" s="340"/>
    </row>
    <row r="33" spans="1:49">
      <c r="A33" s="340"/>
      <c r="B33" s="342" t="s">
        <v>209</v>
      </c>
      <c r="C33" s="340">
        <v>3850</v>
      </c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R33" s="340"/>
      <c r="S33" s="342" t="s">
        <v>209</v>
      </c>
      <c r="T33" s="340">
        <v>3850</v>
      </c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40"/>
    </row>
    <row r="34" spans="1:49">
      <c r="A34" s="340"/>
      <c r="B34" s="342" t="s">
        <v>210</v>
      </c>
      <c r="C34" s="340">
        <v>2630</v>
      </c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R34" s="340"/>
      <c r="S34" s="342" t="s">
        <v>210</v>
      </c>
      <c r="T34" s="340">
        <v>2630</v>
      </c>
      <c r="U34" s="353"/>
      <c r="V34" s="353"/>
      <c r="W34" s="353"/>
      <c r="X34" s="353"/>
      <c r="Y34" s="353"/>
      <c r="Z34" s="353"/>
      <c r="AA34" s="353"/>
      <c r="AB34" s="353"/>
      <c r="AC34" s="353"/>
      <c r="AD34" s="353"/>
      <c r="AE34" s="353"/>
      <c r="AF34" s="353"/>
      <c r="AG34" s="340"/>
    </row>
    <row r="35" spans="1:49">
      <c r="A35" s="340"/>
      <c r="B35" s="342" t="s">
        <v>211</v>
      </c>
      <c r="C35" s="340">
        <v>4200</v>
      </c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R35" s="340"/>
      <c r="S35" s="342" t="s">
        <v>211</v>
      </c>
      <c r="T35" s="340">
        <v>4200</v>
      </c>
      <c r="U35" s="353"/>
      <c r="V35" s="353"/>
      <c r="W35" s="353"/>
      <c r="X35" s="353"/>
      <c r="Y35" s="353"/>
      <c r="Z35" s="353"/>
      <c r="AA35" s="353"/>
      <c r="AB35" s="353"/>
      <c r="AC35" s="353"/>
      <c r="AD35" s="353"/>
      <c r="AE35" s="353"/>
      <c r="AF35" s="353"/>
      <c r="AG35" s="340"/>
    </row>
    <row r="36" spans="1:49">
      <c r="A36" s="340"/>
      <c r="B36" s="332" t="s">
        <v>214</v>
      </c>
      <c r="C36" s="332">
        <v>3800</v>
      </c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R36" s="340" t="s">
        <v>215</v>
      </c>
      <c r="S36" s="340" t="s">
        <v>214</v>
      </c>
      <c r="T36" s="340">
        <v>3800</v>
      </c>
      <c r="U36" s="353"/>
      <c r="V36" s="353"/>
      <c r="W36" s="353"/>
      <c r="X36" s="353">
        <v>24</v>
      </c>
      <c r="Y36" s="353">
        <v>24</v>
      </c>
      <c r="Z36" s="353">
        <v>24</v>
      </c>
      <c r="AA36" s="353">
        <v>24</v>
      </c>
      <c r="AB36" s="353">
        <v>24</v>
      </c>
      <c r="AC36" s="353">
        <v>24</v>
      </c>
      <c r="AD36" s="353">
        <v>24</v>
      </c>
      <c r="AE36" s="353">
        <v>24</v>
      </c>
      <c r="AF36" s="353">
        <v>24</v>
      </c>
      <c r="AG36" s="340"/>
    </row>
    <row r="37" spans="1:49">
      <c r="A37" s="340"/>
      <c r="B37" s="332" t="s">
        <v>216</v>
      </c>
      <c r="C37" s="332">
        <v>3200</v>
      </c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R37" s="340"/>
      <c r="S37" s="340" t="s">
        <v>216</v>
      </c>
      <c r="T37" s="340">
        <v>3200</v>
      </c>
      <c r="U37" s="353"/>
      <c r="V37" s="353"/>
      <c r="W37" s="353"/>
      <c r="X37" s="353">
        <v>6</v>
      </c>
      <c r="Y37" s="353">
        <v>6</v>
      </c>
      <c r="Z37" s="353">
        <v>6</v>
      </c>
      <c r="AA37" s="353">
        <v>6</v>
      </c>
      <c r="AB37" s="353">
        <v>6</v>
      </c>
      <c r="AC37" s="353">
        <v>6</v>
      </c>
      <c r="AD37" s="353">
        <v>6</v>
      </c>
      <c r="AE37" s="353">
        <v>6</v>
      </c>
      <c r="AF37" s="353">
        <v>6</v>
      </c>
      <c r="AG37" s="340"/>
    </row>
    <row r="38" spans="1:49">
      <c r="A38" s="340"/>
      <c r="B38" s="332" t="s">
        <v>217</v>
      </c>
      <c r="C38" s="332">
        <v>5000</v>
      </c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R38" s="340"/>
      <c r="S38" s="340" t="s">
        <v>217</v>
      </c>
      <c r="T38" s="340">
        <v>10000</v>
      </c>
      <c r="U38" s="353">
        <v>20</v>
      </c>
      <c r="V38" s="353">
        <v>20</v>
      </c>
      <c r="W38" s="353">
        <v>20</v>
      </c>
      <c r="X38" s="353">
        <v>20</v>
      </c>
      <c r="Y38" s="353">
        <v>20</v>
      </c>
      <c r="Z38" s="353">
        <v>20</v>
      </c>
      <c r="AA38" s="353">
        <v>20</v>
      </c>
      <c r="AB38" s="353">
        <v>20</v>
      </c>
      <c r="AC38" s="353">
        <v>20</v>
      </c>
      <c r="AD38" s="353">
        <v>20</v>
      </c>
      <c r="AE38" s="353">
        <v>20</v>
      </c>
      <c r="AF38" s="353">
        <v>20</v>
      </c>
      <c r="AG38" s="340"/>
      <c r="AH38" s="396"/>
      <c r="AI38" s="396"/>
    </row>
    <row r="39" spans="1:49">
      <c r="A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R39" s="340" t="s">
        <v>218</v>
      </c>
      <c r="S39" s="340" t="s">
        <v>214</v>
      </c>
      <c r="T39" s="340">
        <v>3800</v>
      </c>
      <c r="U39" s="353"/>
      <c r="V39" s="353">
        <v>70</v>
      </c>
      <c r="W39" s="353">
        <v>70</v>
      </c>
      <c r="X39" s="353">
        <v>70</v>
      </c>
      <c r="Y39" s="353">
        <v>70</v>
      </c>
      <c r="Z39" s="353">
        <v>80</v>
      </c>
      <c r="AA39" s="353">
        <v>80</v>
      </c>
      <c r="AB39" s="353">
        <v>80</v>
      </c>
      <c r="AC39" s="353">
        <v>80</v>
      </c>
      <c r="AD39" s="353">
        <v>80</v>
      </c>
      <c r="AE39" s="353">
        <v>80</v>
      </c>
      <c r="AF39" s="353">
        <v>80</v>
      </c>
      <c r="AG39" s="340"/>
      <c r="AJ39" s="332">
        <v>0</v>
      </c>
      <c r="AK39" s="332">
        <v>0</v>
      </c>
      <c r="AL39" s="332">
        <v>0</v>
      </c>
      <c r="AM39" s="332">
        <v>70</v>
      </c>
      <c r="AN39" s="332">
        <v>70</v>
      </c>
      <c r="AO39" s="332">
        <v>70</v>
      </c>
      <c r="AP39" s="332">
        <v>70</v>
      </c>
      <c r="AQ39" s="332">
        <v>70</v>
      </c>
      <c r="AR39" s="332">
        <v>70</v>
      </c>
      <c r="AS39" s="332">
        <v>70</v>
      </c>
      <c r="AT39" s="332">
        <v>70</v>
      </c>
      <c r="AU39" s="332">
        <v>70</v>
      </c>
    </row>
    <row r="40" spans="1:49">
      <c r="A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R40" s="340"/>
      <c r="S40" s="340" t="s">
        <v>216</v>
      </c>
      <c r="T40" s="340">
        <v>3200</v>
      </c>
      <c r="U40" s="353"/>
      <c r="V40" s="353">
        <v>10</v>
      </c>
      <c r="W40" s="353">
        <v>10</v>
      </c>
      <c r="X40" s="353">
        <v>10</v>
      </c>
      <c r="Y40" s="353">
        <v>10</v>
      </c>
      <c r="Z40" s="353">
        <v>20</v>
      </c>
      <c r="AA40" s="353">
        <v>20</v>
      </c>
      <c r="AB40" s="353">
        <v>20</v>
      </c>
      <c r="AC40" s="353">
        <v>20</v>
      </c>
      <c r="AD40" s="353">
        <v>20</v>
      </c>
      <c r="AE40" s="353">
        <v>20</v>
      </c>
      <c r="AF40" s="353">
        <v>20</v>
      </c>
      <c r="AG40" s="340"/>
      <c r="AH40" s="332" t="s">
        <v>140</v>
      </c>
      <c r="AI40" s="332">
        <v>3800</v>
      </c>
      <c r="AJ40" s="396">
        <f>U$39*$T$39</f>
        <v>0</v>
      </c>
      <c r="AK40" s="396">
        <f t="shared" ref="AK40:AU40" si="0">V$39*$T$39</f>
        <v>266000</v>
      </c>
      <c r="AL40" s="396">
        <f t="shared" si="0"/>
        <v>266000</v>
      </c>
      <c r="AM40" s="396">
        <f t="shared" si="0"/>
        <v>266000</v>
      </c>
      <c r="AN40" s="396">
        <f t="shared" si="0"/>
        <v>266000</v>
      </c>
      <c r="AO40" s="396">
        <f t="shared" si="0"/>
        <v>304000</v>
      </c>
      <c r="AP40" s="396">
        <f t="shared" si="0"/>
        <v>304000</v>
      </c>
      <c r="AQ40" s="396">
        <f t="shared" si="0"/>
        <v>304000</v>
      </c>
      <c r="AR40" s="396">
        <f t="shared" si="0"/>
        <v>304000</v>
      </c>
      <c r="AS40" s="396">
        <f t="shared" si="0"/>
        <v>304000</v>
      </c>
      <c r="AT40" s="396">
        <f t="shared" si="0"/>
        <v>304000</v>
      </c>
      <c r="AU40" s="396">
        <f t="shared" si="0"/>
        <v>304000</v>
      </c>
      <c r="AV40" s="398">
        <f>SUM(AJ40:AU40)</f>
        <v>3192000</v>
      </c>
      <c r="AW40" s="332" t="s">
        <v>164</v>
      </c>
    </row>
    <row r="41" spans="1:49">
      <c r="A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R41" s="340"/>
      <c r="S41" s="340"/>
      <c r="T41" s="340"/>
      <c r="U41" s="353"/>
      <c r="V41" s="353"/>
      <c r="W41" s="353"/>
      <c r="X41" s="353"/>
      <c r="Y41" s="353"/>
      <c r="Z41" s="353"/>
      <c r="AA41" s="353"/>
      <c r="AB41" s="353"/>
      <c r="AC41" s="353"/>
      <c r="AD41" s="353"/>
      <c r="AE41" s="353"/>
      <c r="AF41" s="353"/>
      <c r="AG41" s="340"/>
      <c r="AH41" s="332" t="s">
        <v>219</v>
      </c>
      <c r="AI41" s="332">
        <v>4000</v>
      </c>
      <c r="AJ41" s="396">
        <f>$AI$41*AJ$39</f>
        <v>0</v>
      </c>
      <c r="AK41" s="396">
        <f t="shared" ref="AK41:AU41" si="1">$AI$41*AK$39</f>
        <v>0</v>
      </c>
      <c r="AL41" s="396">
        <f t="shared" si="1"/>
        <v>0</v>
      </c>
      <c r="AM41" s="396">
        <f t="shared" si="1"/>
        <v>280000</v>
      </c>
      <c r="AN41" s="396">
        <f t="shared" si="1"/>
        <v>280000</v>
      </c>
      <c r="AO41" s="396">
        <f t="shared" si="1"/>
        <v>280000</v>
      </c>
      <c r="AP41" s="396">
        <f t="shared" si="1"/>
        <v>280000</v>
      </c>
      <c r="AQ41" s="396">
        <f t="shared" si="1"/>
        <v>280000</v>
      </c>
      <c r="AR41" s="396">
        <f t="shared" si="1"/>
        <v>280000</v>
      </c>
      <c r="AS41" s="396">
        <f t="shared" si="1"/>
        <v>280000</v>
      </c>
      <c r="AT41" s="396">
        <f t="shared" si="1"/>
        <v>280000</v>
      </c>
      <c r="AU41" s="396">
        <f t="shared" si="1"/>
        <v>280000</v>
      </c>
      <c r="AV41" s="398">
        <f>SUM(AJ41:AU41)</f>
        <v>2520000</v>
      </c>
      <c r="AW41" s="397">
        <f>AV41-AV40</f>
        <v>-672000</v>
      </c>
    </row>
    <row r="42" spans="1:49">
      <c r="A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R42" s="340"/>
      <c r="S42" s="340"/>
      <c r="T42" s="340"/>
      <c r="U42" s="353"/>
      <c r="V42" s="353"/>
      <c r="W42" s="353"/>
      <c r="X42" s="353"/>
      <c r="Y42" s="353"/>
      <c r="Z42" s="353"/>
      <c r="AA42" s="353"/>
      <c r="AB42" s="353"/>
      <c r="AC42" s="353"/>
      <c r="AD42" s="353"/>
      <c r="AE42" s="353"/>
      <c r="AF42" s="353"/>
      <c r="AG42" s="340"/>
    </row>
    <row r="43" spans="1:49">
      <c r="A43" s="366"/>
      <c r="B43" s="367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R43" s="366"/>
      <c r="S43" s="367"/>
      <c r="T43" s="366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6"/>
    </row>
    <row r="45" spans="1:49">
      <c r="R45" s="332" t="s">
        <v>220</v>
      </c>
      <c r="S45" s="332" t="s">
        <v>221</v>
      </c>
    </row>
    <row r="46" spans="1:49">
      <c r="A46" s="343" t="s">
        <v>222</v>
      </c>
      <c r="B46" s="343"/>
      <c r="C46" s="343"/>
      <c r="D46" s="344" t="s">
        <v>202</v>
      </c>
      <c r="E46" s="344" t="s">
        <v>159</v>
      </c>
      <c r="F46" s="344" t="s">
        <v>129</v>
      </c>
      <c r="G46" s="344" t="s">
        <v>130</v>
      </c>
      <c r="H46" s="344" t="s">
        <v>131</v>
      </c>
      <c r="I46" s="344" t="s">
        <v>132</v>
      </c>
      <c r="J46" s="344" t="s">
        <v>133</v>
      </c>
      <c r="K46" s="344" t="s">
        <v>134</v>
      </c>
      <c r="L46" s="344" t="s">
        <v>135</v>
      </c>
      <c r="M46" s="344" t="s">
        <v>136</v>
      </c>
      <c r="N46" s="344" t="s">
        <v>137</v>
      </c>
      <c r="O46" s="344" t="s">
        <v>138</v>
      </c>
      <c r="P46" s="344" t="s">
        <v>122</v>
      </c>
      <c r="R46" s="343" t="s">
        <v>222</v>
      </c>
      <c r="S46" s="343"/>
      <c r="T46" s="343"/>
      <c r="U46" s="354" t="s">
        <v>202</v>
      </c>
      <c r="V46" s="354" t="s">
        <v>159</v>
      </c>
      <c r="W46" s="354" t="s">
        <v>129</v>
      </c>
      <c r="X46" s="354" t="s">
        <v>130</v>
      </c>
      <c r="Y46" s="354" t="s">
        <v>131</v>
      </c>
      <c r="Z46" s="354" t="s">
        <v>132</v>
      </c>
      <c r="AA46" s="354" t="s">
        <v>133</v>
      </c>
      <c r="AB46" s="354" t="s">
        <v>134</v>
      </c>
      <c r="AC46" s="354" t="s">
        <v>135</v>
      </c>
      <c r="AD46" s="354" t="s">
        <v>136</v>
      </c>
      <c r="AE46" s="354" t="s">
        <v>137</v>
      </c>
      <c r="AF46" s="354" t="s">
        <v>138</v>
      </c>
      <c r="AG46" s="344" t="s">
        <v>122</v>
      </c>
    </row>
    <row r="47" spans="1:49">
      <c r="A47" s="343"/>
      <c r="B47" s="345" t="s">
        <v>203</v>
      </c>
      <c r="C47" s="343">
        <v>3690</v>
      </c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R47" s="343"/>
      <c r="S47" s="345" t="s">
        <v>203</v>
      </c>
      <c r="T47" s="343">
        <v>3690</v>
      </c>
      <c r="U47" s="355">
        <f t="shared" ref="U47:AF47" si="2">U3*$T$3</f>
        <v>3690</v>
      </c>
      <c r="V47" s="355">
        <f t="shared" si="2"/>
        <v>3690</v>
      </c>
      <c r="W47" s="355">
        <f t="shared" si="2"/>
        <v>3690</v>
      </c>
      <c r="X47" s="355">
        <f t="shared" si="2"/>
        <v>3690</v>
      </c>
      <c r="Y47" s="355">
        <f t="shared" si="2"/>
        <v>3690</v>
      </c>
      <c r="Z47" s="355">
        <f t="shared" si="2"/>
        <v>3690</v>
      </c>
      <c r="AA47" s="355">
        <f t="shared" si="2"/>
        <v>3690</v>
      </c>
      <c r="AB47" s="355">
        <f t="shared" si="2"/>
        <v>3690</v>
      </c>
      <c r="AC47" s="355">
        <f t="shared" si="2"/>
        <v>3690</v>
      </c>
      <c r="AD47" s="355">
        <f t="shared" si="2"/>
        <v>3690</v>
      </c>
      <c r="AE47" s="355">
        <f t="shared" si="2"/>
        <v>3690</v>
      </c>
      <c r="AF47" s="355">
        <f t="shared" si="2"/>
        <v>3690</v>
      </c>
      <c r="AG47" s="343"/>
    </row>
    <row r="48" spans="1:49">
      <c r="A48" s="343"/>
      <c r="B48" s="345" t="s">
        <v>204</v>
      </c>
      <c r="C48" s="343">
        <v>4130</v>
      </c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R48" s="343"/>
      <c r="S48" s="345" t="s">
        <v>204</v>
      </c>
      <c r="T48" s="343">
        <v>4130</v>
      </c>
      <c r="U48" s="355">
        <f t="shared" ref="U48:AF48" si="3">U4*$T$4</f>
        <v>330400</v>
      </c>
      <c r="V48" s="355">
        <f t="shared" si="3"/>
        <v>330400</v>
      </c>
      <c r="W48" s="355">
        <f t="shared" si="3"/>
        <v>330400</v>
      </c>
      <c r="X48" s="355">
        <f t="shared" si="3"/>
        <v>330400</v>
      </c>
      <c r="Y48" s="355">
        <f t="shared" si="3"/>
        <v>330400</v>
      </c>
      <c r="Z48" s="355">
        <f t="shared" si="3"/>
        <v>330400</v>
      </c>
      <c r="AA48" s="355">
        <f t="shared" si="3"/>
        <v>330400</v>
      </c>
      <c r="AB48" s="355">
        <f t="shared" si="3"/>
        <v>330400</v>
      </c>
      <c r="AC48" s="355">
        <f t="shared" si="3"/>
        <v>330400</v>
      </c>
      <c r="AD48" s="355">
        <f t="shared" si="3"/>
        <v>330400</v>
      </c>
      <c r="AE48" s="355">
        <f t="shared" si="3"/>
        <v>330400</v>
      </c>
      <c r="AF48" s="355">
        <f t="shared" si="3"/>
        <v>330400</v>
      </c>
      <c r="AG48" s="343"/>
    </row>
    <row r="49" spans="1:33">
      <c r="A49" s="343"/>
      <c r="B49" s="345" t="s">
        <v>205</v>
      </c>
      <c r="C49" s="343">
        <v>6750</v>
      </c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R49" s="343"/>
      <c r="S49" s="345" t="s">
        <v>205</v>
      </c>
      <c r="T49" s="343">
        <v>6750</v>
      </c>
      <c r="U49" s="355">
        <f t="shared" ref="U49:AF49" si="4">U5*$T$5</f>
        <v>13500</v>
      </c>
      <c r="V49" s="355">
        <f t="shared" si="4"/>
        <v>13500</v>
      </c>
      <c r="W49" s="355">
        <f t="shared" si="4"/>
        <v>13500</v>
      </c>
      <c r="X49" s="355">
        <f t="shared" si="4"/>
        <v>13500</v>
      </c>
      <c r="Y49" s="355">
        <f t="shared" si="4"/>
        <v>13500</v>
      </c>
      <c r="Z49" s="355">
        <f t="shared" si="4"/>
        <v>13500</v>
      </c>
      <c r="AA49" s="355">
        <f t="shared" si="4"/>
        <v>13500</v>
      </c>
      <c r="AB49" s="355">
        <f t="shared" si="4"/>
        <v>13500</v>
      </c>
      <c r="AC49" s="355">
        <f t="shared" si="4"/>
        <v>13500</v>
      </c>
      <c r="AD49" s="355">
        <f t="shared" si="4"/>
        <v>13500</v>
      </c>
      <c r="AE49" s="355">
        <f t="shared" si="4"/>
        <v>13500</v>
      </c>
      <c r="AF49" s="355">
        <f t="shared" si="4"/>
        <v>13500</v>
      </c>
      <c r="AG49" s="343"/>
    </row>
    <row r="50" spans="1:33">
      <c r="A50" s="343"/>
      <c r="B50" s="345" t="s">
        <v>206</v>
      </c>
      <c r="C50" s="343">
        <v>4200</v>
      </c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R50" s="343"/>
      <c r="S50" s="345" t="s">
        <v>206</v>
      </c>
      <c r="T50" s="343">
        <v>4200</v>
      </c>
      <c r="U50" s="355">
        <f t="shared" ref="U50:AF50" si="5">U6*$T$6</f>
        <v>75600</v>
      </c>
      <c r="V50" s="355">
        <f t="shared" si="5"/>
        <v>75600</v>
      </c>
      <c r="W50" s="355">
        <f t="shared" si="5"/>
        <v>75600</v>
      </c>
      <c r="X50" s="355">
        <f t="shared" si="5"/>
        <v>75600</v>
      </c>
      <c r="Y50" s="355">
        <f t="shared" si="5"/>
        <v>75600</v>
      </c>
      <c r="Z50" s="355">
        <f t="shared" si="5"/>
        <v>75600</v>
      </c>
      <c r="AA50" s="355">
        <f t="shared" si="5"/>
        <v>75600</v>
      </c>
      <c r="AB50" s="355">
        <f t="shared" si="5"/>
        <v>75600</v>
      </c>
      <c r="AC50" s="355">
        <f t="shared" si="5"/>
        <v>75600</v>
      </c>
      <c r="AD50" s="355">
        <f t="shared" si="5"/>
        <v>75600</v>
      </c>
      <c r="AE50" s="355">
        <f t="shared" si="5"/>
        <v>75600</v>
      </c>
      <c r="AF50" s="355">
        <f t="shared" si="5"/>
        <v>75600</v>
      </c>
      <c r="AG50" s="343"/>
    </row>
    <row r="51" spans="1:33">
      <c r="A51" s="343"/>
      <c r="B51" s="345" t="s">
        <v>207</v>
      </c>
      <c r="C51" s="343">
        <v>4010</v>
      </c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R51" s="343"/>
      <c r="S51" s="345" t="s">
        <v>207</v>
      </c>
      <c r="T51" s="343">
        <v>4010</v>
      </c>
      <c r="U51" s="355">
        <f t="shared" ref="U51:AF51" si="6">U7*$T$7</f>
        <v>280700</v>
      </c>
      <c r="V51" s="355">
        <f t="shared" si="6"/>
        <v>280700</v>
      </c>
      <c r="W51" s="355">
        <f t="shared" si="6"/>
        <v>280700</v>
      </c>
      <c r="X51" s="355">
        <f t="shared" si="6"/>
        <v>280700</v>
      </c>
      <c r="Y51" s="355">
        <f t="shared" si="6"/>
        <v>280700</v>
      </c>
      <c r="Z51" s="355">
        <f t="shared" si="6"/>
        <v>280700</v>
      </c>
      <c r="AA51" s="355">
        <f t="shared" si="6"/>
        <v>280700</v>
      </c>
      <c r="AB51" s="355">
        <f t="shared" si="6"/>
        <v>280700</v>
      </c>
      <c r="AC51" s="355">
        <f t="shared" si="6"/>
        <v>280700</v>
      </c>
      <c r="AD51" s="355">
        <f t="shared" si="6"/>
        <v>280700</v>
      </c>
      <c r="AE51" s="355">
        <f t="shared" si="6"/>
        <v>280700</v>
      </c>
      <c r="AF51" s="355">
        <f t="shared" si="6"/>
        <v>280700</v>
      </c>
      <c r="AG51" s="343"/>
    </row>
    <row r="52" spans="1:33">
      <c r="A52" s="343"/>
      <c r="B52" s="345" t="s">
        <v>208</v>
      </c>
      <c r="C52" s="343">
        <v>3800</v>
      </c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R52" s="343"/>
      <c r="S52" s="345" t="s">
        <v>208</v>
      </c>
      <c r="T52" s="343">
        <v>3800</v>
      </c>
      <c r="U52" s="355">
        <f t="shared" ref="U52:AF52" si="7">U8*$T$8</f>
        <v>513000</v>
      </c>
      <c r="V52" s="355">
        <f t="shared" si="7"/>
        <v>513000</v>
      </c>
      <c r="W52" s="355">
        <f t="shared" si="7"/>
        <v>513000</v>
      </c>
      <c r="X52" s="355">
        <f t="shared" si="7"/>
        <v>513000</v>
      </c>
      <c r="Y52" s="355">
        <f t="shared" si="7"/>
        <v>513000</v>
      </c>
      <c r="Z52" s="355">
        <f t="shared" si="7"/>
        <v>513000</v>
      </c>
      <c r="AA52" s="355">
        <f t="shared" si="7"/>
        <v>513000</v>
      </c>
      <c r="AB52" s="355">
        <f t="shared" si="7"/>
        <v>513000</v>
      </c>
      <c r="AC52" s="355">
        <f t="shared" si="7"/>
        <v>513000</v>
      </c>
      <c r="AD52" s="355">
        <f t="shared" si="7"/>
        <v>513000</v>
      </c>
      <c r="AE52" s="355">
        <f t="shared" si="7"/>
        <v>513000</v>
      </c>
      <c r="AF52" s="355">
        <f t="shared" si="7"/>
        <v>513000</v>
      </c>
      <c r="AG52" s="343"/>
    </row>
    <row r="53" spans="1:33">
      <c r="A53" s="343"/>
      <c r="B53" s="345" t="s">
        <v>209</v>
      </c>
      <c r="C53" s="343">
        <v>3850</v>
      </c>
      <c r="D53" s="343"/>
      <c r="E53" s="343"/>
      <c r="F53" s="343"/>
      <c r="G53" s="343"/>
      <c r="H53" s="343"/>
      <c r="I53" s="343"/>
      <c r="J53" s="343"/>
      <c r="K53" s="343"/>
      <c r="L53" s="343"/>
      <c r="M53" s="343"/>
      <c r="N53" s="343"/>
      <c r="O53" s="343"/>
      <c r="P53" s="343"/>
      <c r="R53" s="343"/>
      <c r="S53" s="345" t="s">
        <v>209</v>
      </c>
      <c r="T53" s="343">
        <v>3850</v>
      </c>
      <c r="U53" s="355">
        <f t="shared" ref="U53:AF53" si="8">U9*$T$9</f>
        <v>731500</v>
      </c>
      <c r="V53" s="355">
        <f t="shared" si="8"/>
        <v>731500</v>
      </c>
      <c r="W53" s="355">
        <f t="shared" si="8"/>
        <v>731500</v>
      </c>
      <c r="X53" s="355">
        <f t="shared" si="8"/>
        <v>731500</v>
      </c>
      <c r="Y53" s="355">
        <f t="shared" si="8"/>
        <v>731500</v>
      </c>
      <c r="Z53" s="355">
        <f t="shared" si="8"/>
        <v>731500</v>
      </c>
      <c r="AA53" s="355">
        <f t="shared" si="8"/>
        <v>731500</v>
      </c>
      <c r="AB53" s="355">
        <f t="shared" si="8"/>
        <v>731500</v>
      </c>
      <c r="AC53" s="355">
        <f t="shared" si="8"/>
        <v>731500</v>
      </c>
      <c r="AD53" s="355">
        <f t="shared" si="8"/>
        <v>731500</v>
      </c>
      <c r="AE53" s="355">
        <f t="shared" si="8"/>
        <v>731500</v>
      </c>
      <c r="AF53" s="355">
        <f t="shared" si="8"/>
        <v>731500</v>
      </c>
      <c r="AG53" s="343"/>
    </row>
    <row r="54" spans="1:33">
      <c r="A54" s="343"/>
      <c r="B54" s="345" t="s">
        <v>210</v>
      </c>
      <c r="C54" s="343">
        <v>2630</v>
      </c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3"/>
      <c r="P54" s="343"/>
      <c r="R54" s="343"/>
      <c r="S54" s="345" t="s">
        <v>210</v>
      </c>
      <c r="T54" s="343">
        <v>2630</v>
      </c>
      <c r="U54" s="355">
        <f t="shared" ref="U54:AF54" si="9">U10*$T$10</f>
        <v>263000</v>
      </c>
      <c r="V54" s="355">
        <f t="shared" si="9"/>
        <v>263000</v>
      </c>
      <c r="W54" s="355">
        <f t="shared" si="9"/>
        <v>263000</v>
      </c>
      <c r="X54" s="355">
        <f t="shared" si="9"/>
        <v>263000</v>
      </c>
      <c r="Y54" s="355">
        <f t="shared" si="9"/>
        <v>263000</v>
      </c>
      <c r="Z54" s="355">
        <f t="shared" si="9"/>
        <v>263000</v>
      </c>
      <c r="AA54" s="355">
        <f t="shared" si="9"/>
        <v>263000</v>
      </c>
      <c r="AB54" s="355">
        <f t="shared" si="9"/>
        <v>263000</v>
      </c>
      <c r="AC54" s="355">
        <f t="shared" si="9"/>
        <v>263000</v>
      </c>
      <c r="AD54" s="355">
        <f t="shared" si="9"/>
        <v>263000</v>
      </c>
      <c r="AE54" s="355">
        <f t="shared" si="9"/>
        <v>263000</v>
      </c>
      <c r="AF54" s="355">
        <f t="shared" si="9"/>
        <v>263000</v>
      </c>
      <c r="AG54" s="343"/>
    </row>
    <row r="55" spans="1:33">
      <c r="A55" s="343"/>
      <c r="B55" s="345" t="s">
        <v>211</v>
      </c>
      <c r="C55" s="343">
        <v>4200</v>
      </c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R55" s="343"/>
      <c r="S55" s="345" t="s">
        <v>211</v>
      </c>
      <c r="T55" s="343">
        <v>4200</v>
      </c>
      <c r="U55" s="355">
        <f t="shared" ref="U55:AF55" si="10">U11*$T$11</f>
        <v>4200</v>
      </c>
      <c r="V55" s="355">
        <f t="shared" si="10"/>
        <v>4200</v>
      </c>
      <c r="W55" s="355">
        <f t="shared" si="10"/>
        <v>4200</v>
      </c>
      <c r="X55" s="355">
        <f t="shared" si="10"/>
        <v>4200</v>
      </c>
      <c r="Y55" s="355">
        <f t="shared" si="10"/>
        <v>4200</v>
      </c>
      <c r="Z55" s="355">
        <f t="shared" si="10"/>
        <v>4200</v>
      </c>
      <c r="AA55" s="355">
        <f t="shared" si="10"/>
        <v>4200</v>
      </c>
      <c r="AB55" s="355">
        <f t="shared" si="10"/>
        <v>4200</v>
      </c>
      <c r="AC55" s="355">
        <f t="shared" si="10"/>
        <v>4200</v>
      </c>
      <c r="AD55" s="355">
        <f t="shared" si="10"/>
        <v>4200</v>
      </c>
      <c r="AE55" s="355">
        <f t="shared" si="10"/>
        <v>4200</v>
      </c>
      <c r="AF55" s="355">
        <f t="shared" si="10"/>
        <v>4200</v>
      </c>
      <c r="AG55" s="355">
        <f>SUM(U47:AF55)</f>
        <v>26587080</v>
      </c>
    </row>
    <row r="56" spans="1:33">
      <c r="R56" s="332" t="s">
        <v>223</v>
      </c>
      <c r="S56" s="332" t="s">
        <v>221</v>
      </c>
    </row>
    <row r="57" spans="1:33">
      <c r="R57" s="356" t="s">
        <v>222</v>
      </c>
      <c r="S57" s="356"/>
      <c r="T57" s="356"/>
      <c r="U57" s="357" t="s">
        <v>202</v>
      </c>
      <c r="V57" s="357" t="s">
        <v>159</v>
      </c>
      <c r="W57" s="357" t="s">
        <v>129</v>
      </c>
      <c r="X57" s="357" t="s">
        <v>130</v>
      </c>
      <c r="Y57" s="357" t="s">
        <v>131</v>
      </c>
      <c r="Z57" s="357" t="s">
        <v>132</v>
      </c>
      <c r="AA57" s="357" t="s">
        <v>133</v>
      </c>
      <c r="AB57" s="357" t="s">
        <v>134</v>
      </c>
      <c r="AC57" s="357" t="s">
        <v>135</v>
      </c>
      <c r="AD57" s="357" t="s">
        <v>136</v>
      </c>
      <c r="AE57" s="357" t="s">
        <v>137</v>
      </c>
      <c r="AF57" s="357" t="s">
        <v>138</v>
      </c>
      <c r="AG57" s="358" t="s">
        <v>122</v>
      </c>
    </row>
    <row r="58" spans="1:33">
      <c r="R58" s="356"/>
      <c r="S58" s="359" t="s">
        <v>203</v>
      </c>
      <c r="T58" s="356">
        <v>3690</v>
      </c>
      <c r="U58" s="360">
        <f t="shared" ref="U58:AF58" si="11">U15*$T$15</f>
        <v>0</v>
      </c>
      <c r="V58" s="360">
        <f t="shared" si="11"/>
        <v>0</v>
      </c>
      <c r="W58" s="360">
        <f t="shared" si="11"/>
        <v>0</v>
      </c>
      <c r="X58" s="360">
        <f t="shared" si="11"/>
        <v>0</v>
      </c>
      <c r="Y58" s="360">
        <f t="shared" si="11"/>
        <v>0</v>
      </c>
      <c r="Z58" s="360">
        <f t="shared" si="11"/>
        <v>0</v>
      </c>
      <c r="AA58" s="360">
        <f t="shared" si="11"/>
        <v>0</v>
      </c>
      <c r="AB58" s="360">
        <f t="shared" si="11"/>
        <v>0</v>
      </c>
      <c r="AC58" s="360">
        <f t="shared" si="11"/>
        <v>0</v>
      </c>
      <c r="AD58" s="360">
        <f t="shared" si="11"/>
        <v>0</v>
      </c>
      <c r="AE58" s="360">
        <f t="shared" si="11"/>
        <v>0</v>
      </c>
      <c r="AF58" s="360">
        <f t="shared" si="11"/>
        <v>0</v>
      </c>
      <c r="AG58" s="356"/>
    </row>
    <row r="59" spans="1:33">
      <c r="R59" s="356"/>
      <c r="S59" s="359" t="s">
        <v>204</v>
      </c>
      <c r="T59" s="356">
        <v>4130</v>
      </c>
      <c r="U59" s="360">
        <f t="shared" ref="U59:AF59" si="12">U16*$T$16</f>
        <v>0</v>
      </c>
      <c r="V59" s="360">
        <f t="shared" si="12"/>
        <v>0</v>
      </c>
      <c r="W59" s="360">
        <f t="shared" si="12"/>
        <v>0</v>
      </c>
      <c r="X59" s="360">
        <f t="shared" si="12"/>
        <v>0</v>
      </c>
      <c r="Y59" s="360">
        <f t="shared" si="12"/>
        <v>0</v>
      </c>
      <c r="Z59" s="360">
        <f t="shared" si="12"/>
        <v>0</v>
      </c>
      <c r="AA59" s="360">
        <f t="shared" si="12"/>
        <v>0</v>
      </c>
      <c r="AB59" s="360">
        <f t="shared" si="12"/>
        <v>0</v>
      </c>
      <c r="AC59" s="360">
        <f t="shared" si="12"/>
        <v>0</v>
      </c>
      <c r="AD59" s="360">
        <f t="shared" si="12"/>
        <v>0</v>
      </c>
      <c r="AE59" s="360">
        <f t="shared" si="12"/>
        <v>0</v>
      </c>
      <c r="AF59" s="360">
        <f t="shared" si="12"/>
        <v>0</v>
      </c>
      <c r="AG59" s="356"/>
    </row>
    <row r="60" spans="1:33">
      <c r="R60" s="356"/>
      <c r="S60" s="359" t="s">
        <v>205</v>
      </c>
      <c r="T60" s="356">
        <v>6750</v>
      </c>
      <c r="U60" s="360">
        <f t="shared" ref="U60:AF60" si="13">U17*$T$17</f>
        <v>0</v>
      </c>
      <c r="V60" s="360">
        <f t="shared" si="13"/>
        <v>0</v>
      </c>
      <c r="W60" s="360">
        <f t="shared" si="13"/>
        <v>0</v>
      </c>
      <c r="X60" s="360">
        <f t="shared" si="13"/>
        <v>0</v>
      </c>
      <c r="Y60" s="360">
        <f t="shared" si="13"/>
        <v>0</v>
      </c>
      <c r="Z60" s="360">
        <f t="shared" si="13"/>
        <v>0</v>
      </c>
      <c r="AA60" s="360">
        <f t="shared" si="13"/>
        <v>0</v>
      </c>
      <c r="AB60" s="360">
        <f t="shared" si="13"/>
        <v>0</v>
      </c>
      <c r="AC60" s="360">
        <f t="shared" si="13"/>
        <v>0</v>
      </c>
      <c r="AD60" s="360">
        <f t="shared" si="13"/>
        <v>0</v>
      </c>
      <c r="AE60" s="360">
        <f t="shared" si="13"/>
        <v>0</v>
      </c>
      <c r="AF60" s="360">
        <f t="shared" si="13"/>
        <v>0</v>
      </c>
      <c r="AG60" s="356"/>
    </row>
    <row r="61" spans="1:33">
      <c r="R61" s="356"/>
      <c r="S61" s="359" t="s">
        <v>206</v>
      </c>
      <c r="T61" s="356">
        <v>4200</v>
      </c>
      <c r="U61" s="360">
        <f t="shared" ref="U61:AF61" si="14">U18*$T$18</f>
        <v>0</v>
      </c>
      <c r="V61" s="360">
        <f t="shared" si="14"/>
        <v>75600</v>
      </c>
      <c r="W61" s="360">
        <f t="shared" si="14"/>
        <v>75600</v>
      </c>
      <c r="X61" s="360">
        <f t="shared" si="14"/>
        <v>75600</v>
      </c>
      <c r="Y61" s="360">
        <f t="shared" si="14"/>
        <v>75600</v>
      </c>
      <c r="Z61" s="360">
        <f t="shared" si="14"/>
        <v>75600</v>
      </c>
      <c r="AA61" s="360">
        <f t="shared" si="14"/>
        <v>75600</v>
      </c>
      <c r="AB61" s="360">
        <f t="shared" si="14"/>
        <v>75600</v>
      </c>
      <c r="AC61" s="360">
        <f t="shared" si="14"/>
        <v>75600</v>
      </c>
      <c r="AD61" s="360">
        <f t="shared" si="14"/>
        <v>75600</v>
      </c>
      <c r="AE61" s="360">
        <f t="shared" si="14"/>
        <v>75600</v>
      </c>
      <c r="AF61" s="360">
        <f t="shared" si="14"/>
        <v>75600</v>
      </c>
      <c r="AG61" s="356"/>
    </row>
    <row r="62" spans="1:33">
      <c r="R62" s="356"/>
      <c r="S62" s="359" t="s">
        <v>207</v>
      </c>
      <c r="T62" s="356">
        <v>4010</v>
      </c>
      <c r="U62" s="360">
        <f t="shared" ref="U62:AF62" si="15">U19*$T$19</f>
        <v>0</v>
      </c>
      <c r="V62" s="360">
        <f t="shared" si="15"/>
        <v>0</v>
      </c>
      <c r="W62" s="360">
        <f t="shared" si="15"/>
        <v>0</v>
      </c>
      <c r="X62" s="360">
        <f t="shared" si="15"/>
        <v>0</v>
      </c>
      <c r="Y62" s="360">
        <f t="shared" si="15"/>
        <v>0</v>
      </c>
      <c r="Z62" s="360">
        <f t="shared" si="15"/>
        <v>0</v>
      </c>
      <c r="AA62" s="360">
        <f t="shared" si="15"/>
        <v>0</v>
      </c>
      <c r="AB62" s="360">
        <f t="shared" si="15"/>
        <v>0</v>
      </c>
      <c r="AC62" s="360">
        <f t="shared" si="15"/>
        <v>0</v>
      </c>
      <c r="AD62" s="360">
        <f t="shared" si="15"/>
        <v>0</v>
      </c>
      <c r="AE62" s="360">
        <f t="shared" si="15"/>
        <v>0</v>
      </c>
      <c r="AF62" s="360">
        <f t="shared" si="15"/>
        <v>0</v>
      </c>
      <c r="AG62" s="356"/>
    </row>
    <row r="63" spans="1:33">
      <c r="R63" s="356"/>
      <c r="S63" s="359" t="s">
        <v>208</v>
      </c>
      <c r="T63" s="356">
        <v>3800</v>
      </c>
      <c r="U63" s="360">
        <f t="shared" ref="U63:AF63" si="16">U20*$T$20</f>
        <v>0</v>
      </c>
      <c r="V63" s="360">
        <f t="shared" si="16"/>
        <v>0</v>
      </c>
      <c r="W63" s="360">
        <f t="shared" si="16"/>
        <v>0</v>
      </c>
      <c r="X63" s="360">
        <f t="shared" si="16"/>
        <v>0</v>
      </c>
      <c r="Y63" s="360">
        <f t="shared" si="16"/>
        <v>0</v>
      </c>
      <c r="Z63" s="360">
        <f t="shared" si="16"/>
        <v>0</v>
      </c>
      <c r="AA63" s="360">
        <f t="shared" si="16"/>
        <v>0</v>
      </c>
      <c r="AB63" s="360">
        <f t="shared" si="16"/>
        <v>0</v>
      </c>
      <c r="AC63" s="360">
        <f t="shared" si="16"/>
        <v>0</v>
      </c>
      <c r="AD63" s="360">
        <f t="shared" si="16"/>
        <v>0</v>
      </c>
      <c r="AE63" s="360">
        <f t="shared" si="16"/>
        <v>0</v>
      </c>
      <c r="AF63" s="360">
        <f t="shared" si="16"/>
        <v>0</v>
      </c>
      <c r="AG63" s="356"/>
    </row>
    <row r="64" spans="1:33">
      <c r="R64" s="356"/>
      <c r="S64" s="359" t="s">
        <v>209</v>
      </c>
      <c r="T64" s="356">
        <v>3850</v>
      </c>
      <c r="U64" s="360">
        <f t="shared" ref="U64:AF64" si="17">U21*$T$21</f>
        <v>0</v>
      </c>
      <c r="V64" s="360">
        <f t="shared" si="17"/>
        <v>0</v>
      </c>
      <c r="W64" s="360">
        <f t="shared" si="17"/>
        <v>0</v>
      </c>
      <c r="X64" s="360">
        <f t="shared" si="17"/>
        <v>0</v>
      </c>
      <c r="Y64" s="360">
        <f t="shared" si="17"/>
        <v>327250</v>
      </c>
      <c r="Z64" s="360">
        <f t="shared" si="17"/>
        <v>404250</v>
      </c>
      <c r="AA64" s="360">
        <f t="shared" si="17"/>
        <v>404250</v>
      </c>
      <c r="AB64" s="360">
        <f t="shared" si="17"/>
        <v>404250</v>
      </c>
      <c r="AC64" s="360">
        <f t="shared" si="17"/>
        <v>404250</v>
      </c>
      <c r="AD64" s="360">
        <f t="shared" si="17"/>
        <v>519750</v>
      </c>
      <c r="AE64" s="360">
        <f t="shared" si="17"/>
        <v>519750</v>
      </c>
      <c r="AF64" s="360">
        <f t="shared" si="17"/>
        <v>519750</v>
      </c>
      <c r="AG64" s="356"/>
    </row>
    <row r="65" spans="18:33">
      <c r="R65" s="356"/>
      <c r="S65" s="359" t="s">
        <v>210</v>
      </c>
      <c r="T65" s="356">
        <v>2630</v>
      </c>
      <c r="U65" s="360">
        <f t="shared" ref="U65:AF65" si="18">U22*$T$22</f>
        <v>0</v>
      </c>
      <c r="V65" s="360">
        <f t="shared" si="18"/>
        <v>0</v>
      </c>
      <c r="W65" s="360">
        <f t="shared" si="18"/>
        <v>0</v>
      </c>
      <c r="X65" s="360">
        <f t="shared" si="18"/>
        <v>0</v>
      </c>
      <c r="Y65" s="360">
        <f t="shared" si="18"/>
        <v>0</v>
      </c>
      <c r="Z65" s="360">
        <f t="shared" si="18"/>
        <v>0</v>
      </c>
      <c r="AA65" s="360">
        <f t="shared" si="18"/>
        <v>0</v>
      </c>
      <c r="AB65" s="360">
        <f t="shared" si="18"/>
        <v>0</v>
      </c>
      <c r="AC65" s="360">
        <f t="shared" si="18"/>
        <v>0</v>
      </c>
      <c r="AD65" s="360">
        <f t="shared" si="18"/>
        <v>0</v>
      </c>
      <c r="AE65" s="360">
        <f t="shared" si="18"/>
        <v>0</v>
      </c>
      <c r="AF65" s="360">
        <f t="shared" si="18"/>
        <v>0</v>
      </c>
      <c r="AG65" s="356"/>
    </row>
    <row r="66" spans="18:33">
      <c r="R66" s="356"/>
      <c r="S66" s="359" t="s">
        <v>211</v>
      </c>
      <c r="T66" s="356">
        <v>4200</v>
      </c>
      <c r="U66" s="360">
        <f t="shared" ref="U66:AF66" si="19">U23*$T$23</f>
        <v>4200</v>
      </c>
      <c r="V66" s="360">
        <f t="shared" si="19"/>
        <v>4200</v>
      </c>
      <c r="W66" s="360">
        <f t="shared" si="19"/>
        <v>4200</v>
      </c>
      <c r="X66" s="360">
        <f t="shared" si="19"/>
        <v>4200</v>
      </c>
      <c r="Y66" s="360">
        <f t="shared" si="19"/>
        <v>4200</v>
      </c>
      <c r="Z66" s="360">
        <f t="shared" si="19"/>
        <v>4200</v>
      </c>
      <c r="AA66" s="360">
        <f t="shared" si="19"/>
        <v>4200</v>
      </c>
      <c r="AB66" s="360">
        <f t="shared" si="19"/>
        <v>4200</v>
      </c>
      <c r="AC66" s="360">
        <f t="shared" si="19"/>
        <v>4200</v>
      </c>
      <c r="AD66" s="360">
        <f t="shared" si="19"/>
        <v>4200</v>
      </c>
      <c r="AE66" s="360">
        <f t="shared" si="19"/>
        <v>4200</v>
      </c>
      <c r="AF66" s="360">
        <f t="shared" si="19"/>
        <v>4200</v>
      </c>
      <c r="AG66" s="360">
        <f>SUM(U58:AF66)</f>
        <v>4385500</v>
      </c>
    </row>
    <row r="67" spans="18:33">
      <c r="R67" s="332" t="s">
        <v>215</v>
      </c>
      <c r="S67" s="332" t="s">
        <v>221</v>
      </c>
    </row>
    <row r="68" spans="18:33">
      <c r="R68" s="340" t="s">
        <v>222</v>
      </c>
      <c r="S68" s="340"/>
      <c r="T68" s="340"/>
      <c r="U68" s="352" t="s">
        <v>202</v>
      </c>
      <c r="V68" s="352" t="s">
        <v>159</v>
      </c>
      <c r="W68" s="352" t="s">
        <v>129</v>
      </c>
      <c r="X68" s="352" t="s">
        <v>130</v>
      </c>
      <c r="Y68" s="352" t="s">
        <v>131</v>
      </c>
      <c r="Z68" s="352" t="s">
        <v>132</v>
      </c>
      <c r="AA68" s="352" t="s">
        <v>133</v>
      </c>
      <c r="AB68" s="352" t="s">
        <v>134</v>
      </c>
      <c r="AC68" s="352" t="s">
        <v>135</v>
      </c>
      <c r="AD68" s="352" t="s">
        <v>136</v>
      </c>
      <c r="AE68" s="352" t="s">
        <v>137</v>
      </c>
      <c r="AF68" s="352" t="s">
        <v>138</v>
      </c>
      <c r="AG68" s="341" t="s">
        <v>122</v>
      </c>
    </row>
    <row r="69" spans="18:33">
      <c r="R69" s="340"/>
      <c r="S69" s="342" t="s">
        <v>203</v>
      </c>
      <c r="T69" s="340">
        <v>3690</v>
      </c>
      <c r="U69" s="353">
        <f t="shared" ref="U69:AF69" si="20">U27*$T$27</f>
        <v>0</v>
      </c>
      <c r="V69" s="353">
        <f t="shared" si="20"/>
        <v>0</v>
      </c>
      <c r="W69" s="353">
        <f t="shared" si="20"/>
        <v>0</v>
      </c>
      <c r="X69" s="353">
        <f t="shared" si="20"/>
        <v>0</v>
      </c>
      <c r="Y69" s="353">
        <f t="shared" si="20"/>
        <v>0</v>
      </c>
      <c r="Z69" s="353">
        <f t="shared" si="20"/>
        <v>0</v>
      </c>
      <c r="AA69" s="353">
        <f t="shared" si="20"/>
        <v>0</v>
      </c>
      <c r="AB69" s="353">
        <f t="shared" si="20"/>
        <v>0</v>
      </c>
      <c r="AC69" s="353">
        <f t="shared" si="20"/>
        <v>0</v>
      </c>
      <c r="AD69" s="353">
        <f t="shared" si="20"/>
        <v>0</v>
      </c>
      <c r="AE69" s="353">
        <f t="shared" si="20"/>
        <v>0</v>
      </c>
      <c r="AF69" s="353">
        <f t="shared" si="20"/>
        <v>0</v>
      </c>
      <c r="AG69" s="340"/>
    </row>
    <row r="70" spans="18:33">
      <c r="R70" s="340"/>
      <c r="S70" s="342" t="s">
        <v>204</v>
      </c>
      <c r="T70" s="340">
        <v>4130</v>
      </c>
      <c r="U70" s="353">
        <f t="shared" ref="U70:AF70" si="21">U28*$T$28</f>
        <v>0</v>
      </c>
      <c r="V70" s="353">
        <f t="shared" si="21"/>
        <v>0</v>
      </c>
      <c r="W70" s="353">
        <f t="shared" si="21"/>
        <v>0</v>
      </c>
      <c r="X70" s="353">
        <f t="shared" si="21"/>
        <v>0</v>
      </c>
      <c r="Y70" s="353">
        <f t="shared" si="21"/>
        <v>0</v>
      </c>
      <c r="Z70" s="353">
        <f t="shared" si="21"/>
        <v>0</v>
      </c>
      <c r="AA70" s="353">
        <f t="shared" si="21"/>
        <v>0</v>
      </c>
      <c r="AB70" s="353">
        <f t="shared" si="21"/>
        <v>0</v>
      </c>
      <c r="AC70" s="353">
        <f t="shared" si="21"/>
        <v>0</v>
      </c>
      <c r="AD70" s="353">
        <f t="shared" si="21"/>
        <v>0</v>
      </c>
      <c r="AE70" s="353">
        <f t="shared" si="21"/>
        <v>0</v>
      </c>
      <c r="AF70" s="353">
        <f t="shared" si="21"/>
        <v>0</v>
      </c>
      <c r="AG70" s="340"/>
    </row>
    <row r="71" spans="18:33">
      <c r="R71" s="340"/>
      <c r="S71" s="342" t="s">
        <v>205</v>
      </c>
      <c r="T71" s="340">
        <v>6750</v>
      </c>
      <c r="U71" s="353">
        <f t="shared" ref="U71:AF71" si="22">U29*$T$29</f>
        <v>0</v>
      </c>
      <c r="V71" s="353">
        <f t="shared" si="22"/>
        <v>0</v>
      </c>
      <c r="W71" s="353">
        <f t="shared" si="22"/>
        <v>0</v>
      </c>
      <c r="X71" s="353">
        <f t="shared" si="22"/>
        <v>0</v>
      </c>
      <c r="Y71" s="353">
        <f t="shared" si="22"/>
        <v>0</v>
      </c>
      <c r="Z71" s="353">
        <f t="shared" si="22"/>
        <v>0</v>
      </c>
      <c r="AA71" s="353">
        <f t="shared" si="22"/>
        <v>0</v>
      </c>
      <c r="AB71" s="353">
        <f t="shared" si="22"/>
        <v>0</v>
      </c>
      <c r="AC71" s="353">
        <f t="shared" si="22"/>
        <v>0</v>
      </c>
      <c r="AD71" s="353">
        <f t="shared" si="22"/>
        <v>0</v>
      </c>
      <c r="AE71" s="353">
        <f t="shared" si="22"/>
        <v>0</v>
      </c>
      <c r="AF71" s="353">
        <f t="shared" si="22"/>
        <v>0</v>
      </c>
      <c r="AG71" s="340"/>
    </row>
    <row r="72" spans="18:33">
      <c r="R72" s="340"/>
      <c r="S72" s="342" t="s">
        <v>206</v>
      </c>
      <c r="T72" s="340">
        <v>4200</v>
      </c>
      <c r="U72" s="353">
        <f t="shared" ref="U72:AF72" si="23">U30*$T$30</f>
        <v>0</v>
      </c>
      <c r="V72" s="353">
        <f t="shared" si="23"/>
        <v>0</v>
      </c>
      <c r="W72" s="353">
        <f t="shared" si="23"/>
        <v>0</v>
      </c>
      <c r="X72" s="353">
        <f t="shared" si="23"/>
        <v>0</v>
      </c>
      <c r="Y72" s="353">
        <f t="shared" si="23"/>
        <v>0</v>
      </c>
      <c r="Z72" s="353">
        <f t="shared" si="23"/>
        <v>0</v>
      </c>
      <c r="AA72" s="353">
        <f t="shared" si="23"/>
        <v>0</v>
      </c>
      <c r="AB72" s="353">
        <f t="shared" si="23"/>
        <v>0</v>
      </c>
      <c r="AC72" s="353">
        <f t="shared" si="23"/>
        <v>0</v>
      </c>
      <c r="AD72" s="353">
        <f t="shared" si="23"/>
        <v>0</v>
      </c>
      <c r="AE72" s="353">
        <f t="shared" si="23"/>
        <v>0</v>
      </c>
      <c r="AF72" s="353">
        <f t="shared" si="23"/>
        <v>0</v>
      </c>
      <c r="AG72" s="340"/>
    </row>
    <row r="73" spans="18:33">
      <c r="R73" s="340"/>
      <c r="S73" s="342" t="s">
        <v>207</v>
      </c>
      <c r="T73" s="340">
        <v>4010</v>
      </c>
      <c r="U73" s="353">
        <f t="shared" ref="U73:AF73" si="24">U31*$T$31</f>
        <v>0</v>
      </c>
      <c r="V73" s="353">
        <f t="shared" si="24"/>
        <v>0</v>
      </c>
      <c r="W73" s="353">
        <f t="shared" si="24"/>
        <v>0</v>
      </c>
      <c r="X73" s="353">
        <f t="shared" si="24"/>
        <v>0</v>
      </c>
      <c r="Y73" s="353">
        <f t="shared" si="24"/>
        <v>0</v>
      </c>
      <c r="Z73" s="353">
        <f t="shared" si="24"/>
        <v>0</v>
      </c>
      <c r="AA73" s="353">
        <f t="shared" si="24"/>
        <v>0</v>
      </c>
      <c r="AB73" s="353">
        <f t="shared" si="24"/>
        <v>0</v>
      </c>
      <c r="AC73" s="353">
        <f t="shared" si="24"/>
        <v>0</v>
      </c>
      <c r="AD73" s="353">
        <f t="shared" si="24"/>
        <v>0</v>
      </c>
      <c r="AE73" s="353">
        <f t="shared" si="24"/>
        <v>0</v>
      </c>
      <c r="AF73" s="353">
        <f t="shared" si="24"/>
        <v>0</v>
      </c>
      <c r="AG73" s="340"/>
    </row>
    <row r="74" spans="18:33">
      <c r="R74" s="340"/>
      <c r="S74" s="342" t="s">
        <v>208</v>
      </c>
      <c r="T74" s="340">
        <v>3800</v>
      </c>
      <c r="U74" s="353">
        <f t="shared" ref="U74:AF74" si="25">U32*$T$32</f>
        <v>0</v>
      </c>
      <c r="V74" s="353">
        <f t="shared" si="25"/>
        <v>0</v>
      </c>
      <c r="W74" s="353">
        <f t="shared" si="25"/>
        <v>0</v>
      </c>
      <c r="X74" s="353">
        <f t="shared" si="25"/>
        <v>0</v>
      </c>
      <c r="Y74" s="353">
        <f t="shared" si="25"/>
        <v>0</v>
      </c>
      <c r="Z74" s="353">
        <f t="shared" si="25"/>
        <v>0</v>
      </c>
      <c r="AA74" s="353">
        <f t="shared" si="25"/>
        <v>0</v>
      </c>
      <c r="AB74" s="353">
        <f t="shared" si="25"/>
        <v>0</v>
      </c>
      <c r="AC74" s="353">
        <f t="shared" si="25"/>
        <v>0</v>
      </c>
      <c r="AD74" s="353">
        <f t="shared" si="25"/>
        <v>0</v>
      </c>
      <c r="AE74" s="353">
        <f t="shared" si="25"/>
        <v>0</v>
      </c>
      <c r="AF74" s="353">
        <f t="shared" si="25"/>
        <v>0</v>
      </c>
      <c r="AG74" s="340"/>
    </row>
    <row r="75" spans="18:33">
      <c r="R75" s="340"/>
      <c r="S75" s="342" t="s">
        <v>209</v>
      </c>
      <c r="T75" s="340">
        <v>3850</v>
      </c>
      <c r="U75" s="353">
        <f t="shared" ref="U75:AF75" si="26">U33*$T$33</f>
        <v>0</v>
      </c>
      <c r="V75" s="353">
        <f t="shared" si="26"/>
        <v>0</v>
      </c>
      <c r="W75" s="353">
        <f t="shared" si="26"/>
        <v>0</v>
      </c>
      <c r="X75" s="353">
        <f t="shared" si="26"/>
        <v>0</v>
      </c>
      <c r="Y75" s="353">
        <f t="shared" si="26"/>
        <v>0</v>
      </c>
      <c r="Z75" s="353">
        <f t="shared" si="26"/>
        <v>0</v>
      </c>
      <c r="AA75" s="353">
        <f t="shared" si="26"/>
        <v>0</v>
      </c>
      <c r="AB75" s="353">
        <f t="shared" si="26"/>
        <v>0</v>
      </c>
      <c r="AC75" s="353">
        <f t="shared" si="26"/>
        <v>0</v>
      </c>
      <c r="AD75" s="353">
        <f t="shared" si="26"/>
        <v>0</v>
      </c>
      <c r="AE75" s="353">
        <f t="shared" si="26"/>
        <v>0</v>
      </c>
      <c r="AF75" s="353">
        <f t="shared" si="26"/>
        <v>0</v>
      </c>
      <c r="AG75" s="340"/>
    </row>
    <row r="76" spans="18:33">
      <c r="R76" s="340"/>
      <c r="S76" s="342" t="s">
        <v>210</v>
      </c>
      <c r="T76" s="340">
        <v>2630</v>
      </c>
      <c r="U76" s="353">
        <f t="shared" ref="U76:AF76" si="27">U34*$T$34</f>
        <v>0</v>
      </c>
      <c r="V76" s="353">
        <f t="shared" si="27"/>
        <v>0</v>
      </c>
      <c r="W76" s="353">
        <f t="shared" si="27"/>
        <v>0</v>
      </c>
      <c r="X76" s="353">
        <f t="shared" si="27"/>
        <v>0</v>
      </c>
      <c r="Y76" s="353">
        <f t="shared" si="27"/>
        <v>0</v>
      </c>
      <c r="Z76" s="353">
        <f t="shared" si="27"/>
        <v>0</v>
      </c>
      <c r="AA76" s="353">
        <f t="shared" si="27"/>
        <v>0</v>
      </c>
      <c r="AB76" s="353">
        <f t="shared" si="27"/>
        <v>0</v>
      </c>
      <c r="AC76" s="353">
        <f t="shared" si="27"/>
        <v>0</v>
      </c>
      <c r="AD76" s="353">
        <f t="shared" si="27"/>
        <v>0</v>
      </c>
      <c r="AE76" s="353">
        <f t="shared" si="27"/>
        <v>0</v>
      </c>
      <c r="AF76" s="353">
        <f t="shared" si="27"/>
        <v>0</v>
      </c>
      <c r="AG76" s="340"/>
    </row>
    <row r="77" spans="18:33">
      <c r="R77" s="340"/>
      <c r="S77" s="342" t="s">
        <v>211</v>
      </c>
      <c r="T77" s="340">
        <v>4200</v>
      </c>
      <c r="U77" s="353">
        <f t="shared" ref="U77:AF77" si="28">U35*$T$35</f>
        <v>0</v>
      </c>
      <c r="V77" s="353">
        <f t="shared" si="28"/>
        <v>0</v>
      </c>
      <c r="W77" s="353">
        <f t="shared" si="28"/>
        <v>0</v>
      </c>
      <c r="X77" s="353">
        <f t="shared" si="28"/>
        <v>0</v>
      </c>
      <c r="Y77" s="353">
        <f t="shared" si="28"/>
        <v>0</v>
      </c>
      <c r="Z77" s="353">
        <f t="shared" si="28"/>
        <v>0</v>
      </c>
      <c r="AA77" s="353">
        <f t="shared" si="28"/>
        <v>0</v>
      </c>
      <c r="AB77" s="353">
        <f t="shared" si="28"/>
        <v>0</v>
      </c>
      <c r="AC77" s="353">
        <f t="shared" si="28"/>
        <v>0</v>
      </c>
      <c r="AD77" s="353">
        <f t="shared" si="28"/>
        <v>0</v>
      </c>
      <c r="AE77" s="353">
        <f t="shared" si="28"/>
        <v>0</v>
      </c>
      <c r="AF77" s="353">
        <f t="shared" si="28"/>
        <v>0</v>
      </c>
      <c r="AG77" s="353">
        <f>SUM(U69:AF77)</f>
        <v>0</v>
      </c>
    </row>
    <row r="78" spans="18:33">
      <c r="R78" s="340" t="s">
        <v>215</v>
      </c>
      <c r="S78" s="340" t="s">
        <v>214</v>
      </c>
      <c r="T78" s="340">
        <v>3800</v>
      </c>
      <c r="U78" s="353">
        <f t="shared" ref="U78:AF78" si="29">U36*$T$36</f>
        <v>0</v>
      </c>
      <c r="V78" s="353">
        <f t="shared" si="29"/>
        <v>0</v>
      </c>
      <c r="W78" s="353">
        <f t="shared" si="29"/>
        <v>0</v>
      </c>
      <c r="X78" s="353">
        <f t="shared" si="29"/>
        <v>91200</v>
      </c>
      <c r="Y78" s="353">
        <f t="shared" si="29"/>
        <v>91200</v>
      </c>
      <c r="Z78" s="353">
        <f t="shared" si="29"/>
        <v>91200</v>
      </c>
      <c r="AA78" s="353">
        <f t="shared" si="29"/>
        <v>91200</v>
      </c>
      <c r="AB78" s="353">
        <f t="shared" si="29"/>
        <v>91200</v>
      </c>
      <c r="AC78" s="353">
        <f t="shared" si="29"/>
        <v>91200</v>
      </c>
      <c r="AD78" s="353">
        <f t="shared" si="29"/>
        <v>91200</v>
      </c>
      <c r="AE78" s="353">
        <f t="shared" si="29"/>
        <v>91200</v>
      </c>
      <c r="AF78" s="353">
        <f t="shared" si="29"/>
        <v>91200</v>
      </c>
      <c r="AG78" s="353">
        <f>AG36*AF36</f>
        <v>0</v>
      </c>
    </row>
    <row r="79" spans="18:33">
      <c r="R79" s="340"/>
      <c r="S79" s="340" t="s">
        <v>216</v>
      </c>
      <c r="T79" s="340">
        <v>3200</v>
      </c>
      <c r="U79" s="353">
        <f t="shared" ref="U79:AF79" si="30">U37*$T$37</f>
        <v>0</v>
      </c>
      <c r="V79" s="353">
        <f t="shared" si="30"/>
        <v>0</v>
      </c>
      <c r="W79" s="353">
        <f t="shared" si="30"/>
        <v>0</v>
      </c>
      <c r="X79" s="353">
        <f t="shared" si="30"/>
        <v>19200</v>
      </c>
      <c r="Y79" s="353">
        <f t="shared" si="30"/>
        <v>19200</v>
      </c>
      <c r="Z79" s="353">
        <f t="shared" si="30"/>
        <v>19200</v>
      </c>
      <c r="AA79" s="353">
        <f t="shared" si="30"/>
        <v>19200</v>
      </c>
      <c r="AB79" s="353">
        <f t="shared" si="30"/>
        <v>19200</v>
      </c>
      <c r="AC79" s="353">
        <f t="shared" si="30"/>
        <v>19200</v>
      </c>
      <c r="AD79" s="353">
        <f t="shared" si="30"/>
        <v>19200</v>
      </c>
      <c r="AE79" s="353">
        <f t="shared" si="30"/>
        <v>19200</v>
      </c>
      <c r="AF79" s="353">
        <f t="shared" si="30"/>
        <v>19200</v>
      </c>
      <c r="AG79" s="353">
        <f>AG37*AF37</f>
        <v>0</v>
      </c>
    </row>
    <row r="80" spans="18:33">
      <c r="R80" s="340"/>
      <c r="S80" s="340" t="s">
        <v>217</v>
      </c>
      <c r="T80" s="340">
        <v>10000</v>
      </c>
      <c r="U80" s="353">
        <f t="shared" ref="U80:AF80" si="31">U38*$T$38</f>
        <v>200000</v>
      </c>
      <c r="V80" s="353">
        <f t="shared" si="31"/>
        <v>200000</v>
      </c>
      <c r="W80" s="353">
        <f t="shared" si="31"/>
        <v>200000</v>
      </c>
      <c r="X80" s="353">
        <f t="shared" si="31"/>
        <v>200000</v>
      </c>
      <c r="Y80" s="353">
        <f t="shared" si="31"/>
        <v>200000</v>
      </c>
      <c r="Z80" s="353">
        <f t="shared" si="31"/>
        <v>200000</v>
      </c>
      <c r="AA80" s="353">
        <f t="shared" si="31"/>
        <v>200000</v>
      </c>
      <c r="AB80" s="353">
        <f t="shared" si="31"/>
        <v>200000</v>
      </c>
      <c r="AC80" s="353">
        <f t="shared" si="31"/>
        <v>200000</v>
      </c>
      <c r="AD80" s="353">
        <f t="shared" si="31"/>
        <v>200000</v>
      </c>
      <c r="AE80" s="353">
        <f t="shared" si="31"/>
        <v>200000</v>
      </c>
      <c r="AF80" s="353">
        <f t="shared" si="31"/>
        <v>200000</v>
      </c>
      <c r="AG80" s="353">
        <f>AG38*AF38</f>
        <v>0</v>
      </c>
    </row>
    <row r="81" spans="18:33">
      <c r="R81" s="340" t="s">
        <v>218</v>
      </c>
      <c r="S81" s="340" t="s">
        <v>214</v>
      </c>
      <c r="T81" s="340">
        <v>3800</v>
      </c>
      <c r="U81" s="353">
        <f t="shared" ref="U81:AF82" si="32">U39*$T$38</f>
        <v>0</v>
      </c>
      <c r="V81" s="353">
        <f t="shared" si="32"/>
        <v>700000</v>
      </c>
      <c r="W81" s="353">
        <f t="shared" si="32"/>
        <v>700000</v>
      </c>
      <c r="X81" s="353">
        <f t="shared" si="32"/>
        <v>700000</v>
      </c>
      <c r="Y81" s="353">
        <f t="shared" si="32"/>
        <v>700000</v>
      </c>
      <c r="Z81" s="353">
        <f t="shared" si="32"/>
        <v>800000</v>
      </c>
      <c r="AA81" s="353">
        <f t="shared" si="32"/>
        <v>800000</v>
      </c>
      <c r="AB81" s="353">
        <f t="shared" si="32"/>
        <v>800000</v>
      </c>
      <c r="AC81" s="353">
        <f t="shared" si="32"/>
        <v>800000</v>
      </c>
      <c r="AD81" s="353">
        <f t="shared" si="32"/>
        <v>800000</v>
      </c>
      <c r="AE81" s="353">
        <f t="shared" si="32"/>
        <v>800000</v>
      </c>
      <c r="AF81" s="353">
        <f t="shared" si="32"/>
        <v>800000</v>
      </c>
      <c r="AG81" s="353"/>
    </row>
    <row r="82" spans="18:33">
      <c r="R82" s="340"/>
      <c r="S82" s="340" t="s">
        <v>216</v>
      </c>
      <c r="T82" s="340">
        <v>3200</v>
      </c>
      <c r="U82" s="353">
        <f t="shared" si="32"/>
        <v>0</v>
      </c>
      <c r="V82" s="353">
        <f t="shared" si="32"/>
        <v>100000</v>
      </c>
      <c r="W82" s="353">
        <f t="shared" si="32"/>
        <v>100000</v>
      </c>
      <c r="X82" s="353">
        <f t="shared" si="32"/>
        <v>100000</v>
      </c>
      <c r="Y82" s="353">
        <f t="shared" si="32"/>
        <v>100000</v>
      </c>
      <c r="Z82" s="353">
        <f t="shared" si="32"/>
        <v>200000</v>
      </c>
      <c r="AA82" s="353">
        <f t="shared" si="32"/>
        <v>200000</v>
      </c>
      <c r="AB82" s="353">
        <f t="shared" si="32"/>
        <v>200000</v>
      </c>
      <c r="AC82" s="353">
        <f t="shared" si="32"/>
        <v>200000</v>
      </c>
      <c r="AD82" s="353">
        <f t="shared" si="32"/>
        <v>200000</v>
      </c>
      <c r="AE82" s="353">
        <f t="shared" si="32"/>
        <v>200000</v>
      </c>
      <c r="AF82" s="353">
        <f t="shared" si="32"/>
        <v>200000</v>
      </c>
      <c r="AG82" s="353"/>
    </row>
    <row r="83" spans="18:33">
      <c r="S83" s="340"/>
      <c r="T83" s="340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</row>
    <row r="84" spans="18:33">
      <c r="S84" s="340"/>
      <c r="T84" s="340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</row>
    <row r="85" spans="18:33">
      <c r="R85" s="332" t="s">
        <v>224</v>
      </c>
      <c r="S85" s="332" t="s">
        <v>221</v>
      </c>
    </row>
    <row r="86" spans="18:33">
      <c r="R86" s="361" t="s">
        <v>222</v>
      </c>
      <c r="S86" s="361"/>
      <c r="T86" s="361"/>
      <c r="U86" s="362" t="s">
        <v>202</v>
      </c>
      <c r="V86" s="362" t="s">
        <v>159</v>
      </c>
      <c r="W86" s="362" t="s">
        <v>129</v>
      </c>
      <c r="X86" s="362" t="s">
        <v>130</v>
      </c>
      <c r="Y86" s="362" t="s">
        <v>131</v>
      </c>
      <c r="Z86" s="362" t="s">
        <v>132</v>
      </c>
      <c r="AA86" s="362" t="s">
        <v>133</v>
      </c>
      <c r="AB86" s="362" t="s">
        <v>134</v>
      </c>
      <c r="AC86" s="362" t="s">
        <v>135</v>
      </c>
      <c r="AD86" s="362" t="s">
        <v>136</v>
      </c>
      <c r="AE86" s="362" t="s">
        <v>137</v>
      </c>
      <c r="AF86" s="362" t="s">
        <v>138</v>
      </c>
      <c r="AG86" s="363" t="s">
        <v>122</v>
      </c>
    </row>
    <row r="87" spans="18:33">
      <c r="R87" s="361"/>
      <c r="S87" s="364" t="s">
        <v>203</v>
      </c>
      <c r="T87" s="361">
        <v>3690</v>
      </c>
      <c r="U87" s="365">
        <f t="shared" ref="U87:AF87" si="33">U47-U58+U69</f>
        <v>3690</v>
      </c>
      <c r="V87" s="365">
        <f t="shared" si="33"/>
        <v>3690</v>
      </c>
      <c r="W87" s="365">
        <f t="shared" si="33"/>
        <v>3690</v>
      </c>
      <c r="X87" s="365">
        <f t="shared" si="33"/>
        <v>3690</v>
      </c>
      <c r="Y87" s="365">
        <f t="shared" si="33"/>
        <v>3690</v>
      </c>
      <c r="Z87" s="365">
        <f t="shared" si="33"/>
        <v>3690</v>
      </c>
      <c r="AA87" s="365">
        <f t="shared" si="33"/>
        <v>3690</v>
      </c>
      <c r="AB87" s="365">
        <f t="shared" si="33"/>
        <v>3690</v>
      </c>
      <c r="AC87" s="365">
        <f t="shared" si="33"/>
        <v>3690</v>
      </c>
      <c r="AD87" s="365">
        <f t="shared" si="33"/>
        <v>3690</v>
      </c>
      <c r="AE87" s="365">
        <f t="shared" si="33"/>
        <v>3690</v>
      </c>
      <c r="AF87" s="365">
        <f t="shared" si="33"/>
        <v>3690</v>
      </c>
      <c r="AG87" s="361"/>
    </row>
    <row r="88" spans="18:33">
      <c r="R88" s="361"/>
      <c r="S88" s="364" t="s">
        <v>204</v>
      </c>
      <c r="T88" s="361">
        <v>4130</v>
      </c>
      <c r="U88" s="365">
        <f t="shared" ref="U88:AF88" si="34">U48-U59+U70</f>
        <v>330400</v>
      </c>
      <c r="V88" s="365">
        <f t="shared" si="34"/>
        <v>330400</v>
      </c>
      <c r="W88" s="365">
        <f t="shared" si="34"/>
        <v>330400</v>
      </c>
      <c r="X88" s="365">
        <f t="shared" si="34"/>
        <v>330400</v>
      </c>
      <c r="Y88" s="365">
        <f t="shared" si="34"/>
        <v>330400</v>
      </c>
      <c r="Z88" s="365">
        <f t="shared" si="34"/>
        <v>330400</v>
      </c>
      <c r="AA88" s="365">
        <f t="shared" si="34"/>
        <v>330400</v>
      </c>
      <c r="AB88" s="365">
        <f t="shared" si="34"/>
        <v>330400</v>
      </c>
      <c r="AC88" s="365">
        <f t="shared" si="34"/>
        <v>330400</v>
      </c>
      <c r="AD88" s="365">
        <f t="shared" si="34"/>
        <v>330400</v>
      </c>
      <c r="AE88" s="365">
        <f t="shared" si="34"/>
        <v>330400</v>
      </c>
      <c r="AF88" s="365">
        <f t="shared" si="34"/>
        <v>330400</v>
      </c>
      <c r="AG88" s="361"/>
    </row>
    <row r="89" spans="18:33">
      <c r="R89" s="361"/>
      <c r="S89" s="364" t="s">
        <v>205</v>
      </c>
      <c r="T89" s="361">
        <v>6750</v>
      </c>
      <c r="U89" s="365">
        <f t="shared" ref="U89:AF89" si="35">U49-U60+U71</f>
        <v>13500</v>
      </c>
      <c r="V89" s="365">
        <f t="shared" si="35"/>
        <v>13500</v>
      </c>
      <c r="W89" s="365">
        <f t="shared" si="35"/>
        <v>13500</v>
      </c>
      <c r="X89" s="365">
        <f t="shared" si="35"/>
        <v>13500</v>
      </c>
      <c r="Y89" s="365">
        <f t="shared" si="35"/>
        <v>13500</v>
      </c>
      <c r="Z89" s="365">
        <f t="shared" si="35"/>
        <v>13500</v>
      </c>
      <c r="AA89" s="365">
        <f t="shared" si="35"/>
        <v>13500</v>
      </c>
      <c r="AB89" s="365">
        <f t="shared" si="35"/>
        <v>13500</v>
      </c>
      <c r="AC89" s="365">
        <f t="shared" si="35"/>
        <v>13500</v>
      </c>
      <c r="AD89" s="365">
        <f t="shared" si="35"/>
        <v>13500</v>
      </c>
      <c r="AE89" s="365">
        <f t="shared" si="35"/>
        <v>13500</v>
      </c>
      <c r="AF89" s="365">
        <f t="shared" si="35"/>
        <v>13500</v>
      </c>
      <c r="AG89" s="361"/>
    </row>
    <row r="90" spans="18:33">
      <c r="R90" s="361"/>
      <c r="S90" s="364" t="s">
        <v>206</v>
      </c>
      <c r="T90" s="361">
        <v>4200</v>
      </c>
      <c r="U90" s="365">
        <f t="shared" ref="U90:AF90" si="36">U50-U61+U72</f>
        <v>75600</v>
      </c>
      <c r="V90" s="365">
        <f t="shared" si="36"/>
        <v>0</v>
      </c>
      <c r="W90" s="365">
        <f t="shared" si="36"/>
        <v>0</v>
      </c>
      <c r="X90" s="365">
        <f t="shared" si="36"/>
        <v>0</v>
      </c>
      <c r="Y90" s="365">
        <f t="shared" si="36"/>
        <v>0</v>
      </c>
      <c r="Z90" s="365">
        <f t="shared" si="36"/>
        <v>0</v>
      </c>
      <c r="AA90" s="365">
        <f t="shared" si="36"/>
        <v>0</v>
      </c>
      <c r="AB90" s="365">
        <f t="shared" si="36"/>
        <v>0</v>
      </c>
      <c r="AC90" s="365">
        <f t="shared" si="36"/>
        <v>0</v>
      </c>
      <c r="AD90" s="365">
        <f t="shared" si="36"/>
        <v>0</v>
      </c>
      <c r="AE90" s="365">
        <f t="shared" si="36"/>
        <v>0</v>
      </c>
      <c r="AF90" s="365">
        <f t="shared" si="36"/>
        <v>0</v>
      </c>
      <c r="AG90" s="361"/>
    </row>
    <row r="91" spans="18:33">
      <c r="R91" s="361"/>
      <c r="S91" s="364" t="s">
        <v>207</v>
      </c>
      <c r="T91" s="361">
        <v>4010</v>
      </c>
      <c r="U91" s="365">
        <f t="shared" ref="U91:AF91" si="37">U51-U62+U73</f>
        <v>280700</v>
      </c>
      <c r="V91" s="365">
        <f t="shared" si="37"/>
        <v>280700</v>
      </c>
      <c r="W91" s="365">
        <f t="shared" si="37"/>
        <v>280700</v>
      </c>
      <c r="X91" s="365">
        <f t="shared" si="37"/>
        <v>280700</v>
      </c>
      <c r="Y91" s="365">
        <f t="shared" si="37"/>
        <v>280700</v>
      </c>
      <c r="Z91" s="365">
        <f t="shared" si="37"/>
        <v>280700</v>
      </c>
      <c r="AA91" s="365">
        <f t="shared" si="37"/>
        <v>280700</v>
      </c>
      <c r="AB91" s="365">
        <f t="shared" si="37"/>
        <v>280700</v>
      </c>
      <c r="AC91" s="365">
        <f t="shared" si="37"/>
        <v>280700</v>
      </c>
      <c r="AD91" s="365">
        <f t="shared" si="37"/>
        <v>280700</v>
      </c>
      <c r="AE91" s="365">
        <f t="shared" si="37"/>
        <v>280700</v>
      </c>
      <c r="AF91" s="365">
        <f t="shared" si="37"/>
        <v>280700</v>
      </c>
      <c r="AG91" s="361"/>
    </row>
    <row r="92" spans="18:33">
      <c r="R92" s="361"/>
      <c r="S92" s="364" t="s">
        <v>208</v>
      </c>
      <c r="T92" s="361">
        <v>3800</v>
      </c>
      <c r="U92" s="365">
        <f t="shared" ref="U92:AF92" si="38">U52-U63+U74</f>
        <v>513000</v>
      </c>
      <c r="V92" s="365">
        <f t="shared" si="38"/>
        <v>513000</v>
      </c>
      <c r="W92" s="365">
        <f t="shared" si="38"/>
        <v>513000</v>
      </c>
      <c r="X92" s="365">
        <f t="shared" si="38"/>
        <v>513000</v>
      </c>
      <c r="Y92" s="365">
        <f t="shared" si="38"/>
        <v>513000</v>
      </c>
      <c r="Z92" s="365">
        <f t="shared" si="38"/>
        <v>513000</v>
      </c>
      <c r="AA92" s="365">
        <f t="shared" si="38"/>
        <v>513000</v>
      </c>
      <c r="AB92" s="365">
        <f t="shared" si="38"/>
        <v>513000</v>
      </c>
      <c r="AC92" s="365">
        <f t="shared" si="38"/>
        <v>513000</v>
      </c>
      <c r="AD92" s="365">
        <f t="shared" si="38"/>
        <v>513000</v>
      </c>
      <c r="AE92" s="365">
        <f t="shared" si="38"/>
        <v>513000</v>
      </c>
      <c r="AF92" s="365">
        <f t="shared" si="38"/>
        <v>513000</v>
      </c>
      <c r="AG92" s="361"/>
    </row>
    <row r="93" spans="18:33">
      <c r="R93" s="361"/>
      <c r="S93" s="364" t="s">
        <v>209</v>
      </c>
      <c r="T93" s="361">
        <v>3850</v>
      </c>
      <c r="U93" s="365">
        <f t="shared" ref="U93:AF93" si="39">U53-U64+U75</f>
        <v>731500</v>
      </c>
      <c r="V93" s="365">
        <f t="shared" si="39"/>
        <v>731500</v>
      </c>
      <c r="W93" s="365">
        <f t="shared" si="39"/>
        <v>731500</v>
      </c>
      <c r="X93" s="365">
        <f t="shared" si="39"/>
        <v>731500</v>
      </c>
      <c r="Y93" s="365">
        <f t="shared" si="39"/>
        <v>404250</v>
      </c>
      <c r="Z93" s="365">
        <f t="shared" si="39"/>
        <v>327250</v>
      </c>
      <c r="AA93" s="365">
        <f t="shared" si="39"/>
        <v>327250</v>
      </c>
      <c r="AB93" s="365">
        <f t="shared" si="39"/>
        <v>327250</v>
      </c>
      <c r="AC93" s="365">
        <f t="shared" si="39"/>
        <v>327250</v>
      </c>
      <c r="AD93" s="365">
        <f t="shared" si="39"/>
        <v>211750</v>
      </c>
      <c r="AE93" s="365">
        <f t="shared" si="39"/>
        <v>211750</v>
      </c>
      <c r="AF93" s="365">
        <f t="shared" si="39"/>
        <v>211750</v>
      </c>
      <c r="AG93" s="361"/>
    </row>
    <row r="94" spans="18:33">
      <c r="R94" s="361"/>
      <c r="S94" s="364" t="s">
        <v>210</v>
      </c>
      <c r="T94" s="361">
        <v>2630</v>
      </c>
      <c r="U94" s="365">
        <f t="shared" ref="U94:AF94" si="40">U54-U65+U76</f>
        <v>263000</v>
      </c>
      <c r="V94" s="365">
        <f t="shared" si="40"/>
        <v>263000</v>
      </c>
      <c r="W94" s="365">
        <f t="shared" si="40"/>
        <v>263000</v>
      </c>
      <c r="X94" s="365">
        <f t="shared" si="40"/>
        <v>263000</v>
      </c>
      <c r="Y94" s="365">
        <f t="shared" si="40"/>
        <v>263000</v>
      </c>
      <c r="Z94" s="365">
        <f t="shared" si="40"/>
        <v>263000</v>
      </c>
      <c r="AA94" s="365">
        <f t="shared" si="40"/>
        <v>263000</v>
      </c>
      <c r="AB94" s="365">
        <f t="shared" si="40"/>
        <v>263000</v>
      </c>
      <c r="AC94" s="365">
        <f t="shared" si="40"/>
        <v>263000</v>
      </c>
      <c r="AD94" s="365">
        <f t="shared" si="40"/>
        <v>263000</v>
      </c>
      <c r="AE94" s="365">
        <f t="shared" si="40"/>
        <v>263000</v>
      </c>
      <c r="AF94" s="365">
        <f t="shared" si="40"/>
        <v>263000</v>
      </c>
      <c r="AG94" s="361"/>
    </row>
    <row r="95" spans="18:33">
      <c r="R95" s="361"/>
      <c r="S95" s="364" t="s">
        <v>211</v>
      </c>
      <c r="T95" s="361">
        <v>4200</v>
      </c>
      <c r="U95" s="365">
        <f t="shared" ref="U95:AF95" si="41">U55-U66+U77</f>
        <v>0</v>
      </c>
      <c r="V95" s="365">
        <f t="shared" si="41"/>
        <v>0</v>
      </c>
      <c r="W95" s="365">
        <f t="shared" si="41"/>
        <v>0</v>
      </c>
      <c r="X95" s="365">
        <f t="shared" si="41"/>
        <v>0</v>
      </c>
      <c r="Y95" s="365">
        <f t="shared" si="41"/>
        <v>0</v>
      </c>
      <c r="Z95" s="365">
        <f t="shared" si="41"/>
        <v>0</v>
      </c>
      <c r="AA95" s="365">
        <f t="shared" si="41"/>
        <v>0</v>
      </c>
      <c r="AB95" s="365">
        <f t="shared" si="41"/>
        <v>0</v>
      </c>
      <c r="AC95" s="365">
        <f t="shared" si="41"/>
        <v>0</v>
      </c>
      <c r="AD95" s="365">
        <f t="shared" si="41"/>
        <v>0</v>
      </c>
      <c r="AE95" s="365">
        <f t="shared" si="41"/>
        <v>0</v>
      </c>
      <c r="AF95" s="365">
        <f t="shared" si="41"/>
        <v>0</v>
      </c>
      <c r="AG95" s="365">
        <f>SUM(U87:AF95)</f>
        <v>22201580</v>
      </c>
    </row>
    <row r="96" spans="18:33">
      <c r="R96" s="340" t="s">
        <v>215</v>
      </c>
      <c r="S96" s="340" t="s">
        <v>214</v>
      </c>
      <c r="T96" s="340">
        <v>3800</v>
      </c>
      <c r="U96" s="353">
        <f>U78</f>
        <v>0</v>
      </c>
      <c r="V96" s="353">
        <f t="shared" ref="V96:AF96" si="42">V78</f>
        <v>0</v>
      </c>
      <c r="W96" s="353">
        <f t="shared" si="42"/>
        <v>0</v>
      </c>
      <c r="X96" s="353">
        <f t="shared" si="42"/>
        <v>91200</v>
      </c>
      <c r="Y96" s="353">
        <f t="shared" si="42"/>
        <v>91200</v>
      </c>
      <c r="Z96" s="353">
        <f t="shared" si="42"/>
        <v>91200</v>
      </c>
      <c r="AA96" s="353">
        <f t="shared" si="42"/>
        <v>91200</v>
      </c>
      <c r="AB96" s="353">
        <f t="shared" si="42"/>
        <v>91200</v>
      </c>
      <c r="AC96" s="353">
        <f t="shared" si="42"/>
        <v>91200</v>
      </c>
      <c r="AD96" s="353">
        <f t="shared" si="42"/>
        <v>91200</v>
      </c>
      <c r="AE96" s="353">
        <f t="shared" si="42"/>
        <v>91200</v>
      </c>
      <c r="AF96" s="353">
        <f t="shared" si="42"/>
        <v>91200</v>
      </c>
      <c r="AG96" s="353">
        <f>AG54*AF54</f>
        <v>0</v>
      </c>
    </row>
    <row r="97" spans="18:33">
      <c r="R97" s="340"/>
      <c r="S97" s="340" t="s">
        <v>216</v>
      </c>
      <c r="T97" s="340">
        <v>3200</v>
      </c>
      <c r="U97" s="353">
        <f t="shared" ref="U97:AF100" si="43">U79</f>
        <v>0</v>
      </c>
      <c r="V97" s="353">
        <f t="shared" si="43"/>
        <v>0</v>
      </c>
      <c r="W97" s="353">
        <f t="shared" si="43"/>
        <v>0</v>
      </c>
      <c r="X97" s="353">
        <f t="shared" si="43"/>
        <v>19200</v>
      </c>
      <c r="Y97" s="353">
        <f t="shared" si="43"/>
        <v>19200</v>
      </c>
      <c r="Z97" s="353">
        <f t="shared" si="43"/>
        <v>19200</v>
      </c>
      <c r="AA97" s="353">
        <f t="shared" si="43"/>
        <v>19200</v>
      </c>
      <c r="AB97" s="353">
        <f t="shared" si="43"/>
        <v>19200</v>
      </c>
      <c r="AC97" s="353">
        <f t="shared" si="43"/>
        <v>19200</v>
      </c>
      <c r="AD97" s="353">
        <f t="shared" si="43"/>
        <v>19200</v>
      </c>
      <c r="AE97" s="353">
        <f t="shared" si="43"/>
        <v>19200</v>
      </c>
      <c r="AF97" s="353">
        <f t="shared" si="43"/>
        <v>19200</v>
      </c>
      <c r="AG97" s="353"/>
    </row>
    <row r="98" spans="18:33">
      <c r="R98" s="340"/>
      <c r="S98" s="340" t="s">
        <v>217</v>
      </c>
      <c r="T98" s="340">
        <v>10000</v>
      </c>
      <c r="U98" s="353">
        <f t="shared" si="43"/>
        <v>200000</v>
      </c>
      <c r="V98" s="353">
        <f t="shared" si="43"/>
        <v>200000</v>
      </c>
      <c r="W98" s="353">
        <f t="shared" si="43"/>
        <v>200000</v>
      </c>
      <c r="X98" s="353">
        <f t="shared" si="43"/>
        <v>200000</v>
      </c>
      <c r="Y98" s="353">
        <f t="shared" si="43"/>
        <v>200000</v>
      </c>
      <c r="Z98" s="353">
        <f t="shared" si="43"/>
        <v>200000</v>
      </c>
      <c r="AA98" s="353">
        <f t="shared" si="43"/>
        <v>200000</v>
      </c>
      <c r="AB98" s="353">
        <f t="shared" si="43"/>
        <v>200000</v>
      </c>
      <c r="AC98" s="353">
        <f t="shared" si="43"/>
        <v>200000</v>
      </c>
      <c r="AD98" s="353">
        <f t="shared" si="43"/>
        <v>200000</v>
      </c>
      <c r="AE98" s="353">
        <f t="shared" si="43"/>
        <v>200000</v>
      </c>
      <c r="AF98" s="353">
        <f t="shared" si="43"/>
        <v>200000</v>
      </c>
      <c r="AG98" s="353">
        <f>AG56*AF56</f>
        <v>0</v>
      </c>
    </row>
    <row r="99" spans="18:33">
      <c r="R99" s="340" t="s">
        <v>218</v>
      </c>
      <c r="S99" s="340" t="s">
        <v>214</v>
      </c>
      <c r="T99" s="340">
        <v>3800</v>
      </c>
      <c r="U99" s="353">
        <f t="shared" si="43"/>
        <v>0</v>
      </c>
      <c r="V99" s="353">
        <f t="shared" si="43"/>
        <v>700000</v>
      </c>
      <c r="W99" s="353">
        <f t="shared" si="43"/>
        <v>700000</v>
      </c>
      <c r="X99" s="353">
        <f t="shared" si="43"/>
        <v>700000</v>
      </c>
      <c r="Y99" s="353">
        <f t="shared" si="43"/>
        <v>700000</v>
      </c>
      <c r="Z99" s="353">
        <f t="shared" si="43"/>
        <v>800000</v>
      </c>
      <c r="AA99" s="353">
        <f t="shared" si="43"/>
        <v>800000</v>
      </c>
      <c r="AB99" s="353">
        <f t="shared" si="43"/>
        <v>800000</v>
      </c>
      <c r="AC99" s="353">
        <f t="shared" si="43"/>
        <v>800000</v>
      </c>
      <c r="AD99" s="353">
        <f t="shared" si="43"/>
        <v>800000</v>
      </c>
      <c r="AE99" s="353">
        <f t="shared" si="43"/>
        <v>800000</v>
      </c>
      <c r="AF99" s="353">
        <f t="shared" si="43"/>
        <v>800000</v>
      </c>
      <c r="AG99" s="353"/>
    </row>
    <row r="100" spans="18:33">
      <c r="R100" s="340"/>
      <c r="S100" s="340" t="s">
        <v>216</v>
      </c>
      <c r="T100" s="340">
        <v>3200</v>
      </c>
      <c r="U100" s="353">
        <f t="shared" si="43"/>
        <v>0</v>
      </c>
      <c r="V100" s="353">
        <f t="shared" si="43"/>
        <v>100000</v>
      </c>
      <c r="W100" s="353">
        <f t="shared" si="43"/>
        <v>100000</v>
      </c>
      <c r="X100" s="353">
        <f t="shared" si="43"/>
        <v>100000</v>
      </c>
      <c r="Y100" s="353">
        <f t="shared" si="43"/>
        <v>100000</v>
      </c>
      <c r="Z100" s="353">
        <f t="shared" si="43"/>
        <v>200000</v>
      </c>
      <c r="AA100" s="353">
        <f t="shared" si="43"/>
        <v>200000</v>
      </c>
      <c r="AB100" s="353">
        <f t="shared" si="43"/>
        <v>200000</v>
      </c>
      <c r="AC100" s="353">
        <f t="shared" si="43"/>
        <v>200000</v>
      </c>
      <c r="AD100" s="353">
        <f t="shared" si="43"/>
        <v>200000</v>
      </c>
      <c r="AE100" s="353">
        <f t="shared" si="43"/>
        <v>200000</v>
      </c>
      <c r="AF100" s="353">
        <f t="shared" si="43"/>
        <v>200000</v>
      </c>
      <c r="AG100" s="353">
        <f>SUM(U87:AF100)</f>
        <v>35795180</v>
      </c>
    </row>
    <row r="102" spans="18:33" ht="18" customHeight="1">
      <c r="R102" t="s">
        <v>225</v>
      </c>
      <c r="S102" t="s">
        <v>204</v>
      </c>
      <c r="U102" s="347">
        <v>330400</v>
      </c>
      <c r="V102" s="347">
        <v>330400</v>
      </c>
      <c r="W102" s="347">
        <v>330400</v>
      </c>
      <c r="X102" s="347">
        <v>330400</v>
      </c>
      <c r="Y102" s="347">
        <v>330400</v>
      </c>
      <c r="Z102" s="347">
        <v>330400</v>
      </c>
      <c r="AA102" s="347">
        <v>330400</v>
      </c>
      <c r="AB102" s="347">
        <v>330400</v>
      </c>
      <c r="AC102" s="347">
        <v>330400</v>
      </c>
      <c r="AD102" s="347">
        <v>330400</v>
      </c>
      <c r="AE102" s="347">
        <v>330400</v>
      </c>
      <c r="AF102" s="347">
        <v>330400</v>
      </c>
      <c r="AG102" s="347">
        <f>SUM(T102:AF102)</f>
        <v>3964800</v>
      </c>
    </row>
    <row r="103" spans="18:33" ht="18" customHeight="1">
      <c r="R103" t="s">
        <v>226</v>
      </c>
      <c r="S103" t="s">
        <v>227</v>
      </c>
      <c r="U103" s="347">
        <v>731500</v>
      </c>
      <c r="V103" s="347">
        <v>731500</v>
      </c>
      <c r="W103" s="347">
        <v>731500</v>
      </c>
      <c r="X103" s="347">
        <v>731500</v>
      </c>
      <c r="Y103" s="347">
        <v>404250</v>
      </c>
      <c r="Z103" s="347">
        <v>327250</v>
      </c>
      <c r="AA103" s="347">
        <v>327250</v>
      </c>
      <c r="AB103" s="347">
        <v>327250</v>
      </c>
      <c r="AC103" s="347">
        <v>327250</v>
      </c>
      <c r="AD103" s="347">
        <v>211750</v>
      </c>
      <c r="AE103" s="347">
        <v>211750</v>
      </c>
      <c r="AF103" s="347">
        <v>211750</v>
      </c>
      <c r="AG103" s="347"/>
    </row>
    <row r="104" spans="18:33" ht="18" customHeight="1">
      <c r="R104"/>
      <c r="S104" t="s">
        <v>228</v>
      </c>
      <c r="U104" s="347">
        <v>280700</v>
      </c>
      <c r="V104" s="347">
        <v>280700</v>
      </c>
      <c r="W104" s="347">
        <v>280700</v>
      </c>
      <c r="X104" s="347">
        <v>280700</v>
      </c>
      <c r="Y104" s="347">
        <v>280700</v>
      </c>
      <c r="Z104" s="347">
        <v>280700</v>
      </c>
      <c r="AA104" s="347">
        <v>280700</v>
      </c>
      <c r="AB104" s="347">
        <v>280700</v>
      </c>
      <c r="AC104" s="347">
        <v>280700</v>
      </c>
      <c r="AD104" s="347">
        <v>280700</v>
      </c>
      <c r="AE104" s="347">
        <v>280700</v>
      </c>
      <c r="AF104" s="347">
        <v>280700</v>
      </c>
      <c r="AG104" s="347"/>
    </row>
    <row r="105" spans="18:33" ht="18" customHeight="1">
      <c r="R105"/>
      <c r="S105" t="s">
        <v>208</v>
      </c>
      <c r="U105" s="347">
        <v>513000</v>
      </c>
      <c r="V105" s="347">
        <v>513000</v>
      </c>
      <c r="W105" s="347">
        <v>513000</v>
      </c>
      <c r="X105" s="347">
        <v>513000</v>
      </c>
      <c r="Y105" s="347">
        <v>513000</v>
      </c>
      <c r="Z105" s="347">
        <v>513000</v>
      </c>
      <c r="AA105" s="347">
        <v>513000</v>
      </c>
      <c r="AB105" s="347">
        <v>513000</v>
      </c>
      <c r="AC105" s="347">
        <v>513000</v>
      </c>
      <c r="AD105" s="347">
        <v>513000</v>
      </c>
      <c r="AE105" s="347">
        <v>513000</v>
      </c>
      <c r="AF105" s="347">
        <v>513000</v>
      </c>
      <c r="AG105" s="347"/>
    </row>
    <row r="106" spans="18:33" ht="18" customHeight="1">
      <c r="U106" s="347">
        <f>SUM(U103:U105)</f>
        <v>1525200</v>
      </c>
      <c r="V106" s="347">
        <f t="shared" ref="V106:AE106" si="44">SUM(V103:V105)</f>
        <v>1525200</v>
      </c>
      <c r="W106" s="347">
        <f t="shared" si="44"/>
        <v>1525200</v>
      </c>
      <c r="X106" s="347">
        <f t="shared" si="44"/>
        <v>1525200</v>
      </c>
      <c r="Y106" s="347">
        <f t="shared" si="44"/>
        <v>1197950</v>
      </c>
      <c r="Z106" s="347">
        <f t="shared" si="44"/>
        <v>1120950</v>
      </c>
      <c r="AA106" s="347">
        <f t="shared" si="44"/>
        <v>1120950</v>
      </c>
      <c r="AB106" s="347">
        <f t="shared" si="44"/>
        <v>1120950</v>
      </c>
      <c r="AC106" s="347">
        <f t="shared" si="44"/>
        <v>1120950</v>
      </c>
      <c r="AD106" s="347">
        <f t="shared" si="44"/>
        <v>1005450</v>
      </c>
      <c r="AE106" s="347">
        <f t="shared" si="44"/>
        <v>1005450</v>
      </c>
      <c r="AF106" s="347">
        <f>SUM(AF103:AF105)</f>
        <v>1005450</v>
      </c>
      <c r="AG106" s="388">
        <f>SUM(U106:AF106)</f>
        <v>14798900</v>
      </c>
    </row>
    <row r="107" spans="18:33" ht="18" customHeight="1">
      <c r="R107" t="s">
        <v>229</v>
      </c>
      <c r="S107" t="s">
        <v>227</v>
      </c>
      <c r="U107" s="347">
        <v>263000</v>
      </c>
      <c r="V107" s="347">
        <v>263000</v>
      </c>
      <c r="W107" s="347">
        <v>263000</v>
      </c>
      <c r="X107" s="347">
        <v>263000</v>
      </c>
      <c r="Y107" s="347">
        <v>263000</v>
      </c>
      <c r="Z107" s="347">
        <v>263000</v>
      </c>
      <c r="AA107" s="347">
        <v>263000</v>
      </c>
      <c r="AB107" s="347">
        <v>263000</v>
      </c>
      <c r="AC107" s="347">
        <v>263000</v>
      </c>
      <c r="AD107" s="347">
        <v>263000</v>
      </c>
      <c r="AE107" s="347">
        <v>263000</v>
      </c>
      <c r="AF107" s="347">
        <v>263000</v>
      </c>
      <c r="AG107" s="347">
        <f>SUM(U107:AF107)</f>
        <v>3156000</v>
      </c>
    </row>
    <row r="108" spans="18:33" ht="18" customHeight="1">
      <c r="R108" t="s">
        <v>230</v>
      </c>
      <c r="S108"/>
      <c r="AG108" s="347"/>
    </row>
    <row r="109" spans="18:33" ht="18" customHeight="1">
      <c r="R109" t="s">
        <v>231</v>
      </c>
      <c r="S109" t="s">
        <v>232</v>
      </c>
      <c r="U109" s="347">
        <v>75600</v>
      </c>
      <c r="AG109" s="347">
        <f>SUM(U109:AF109)</f>
        <v>75600</v>
      </c>
    </row>
    <row r="110" spans="18:33" ht="18" customHeight="1">
      <c r="R110"/>
      <c r="S110" t="s">
        <v>233</v>
      </c>
    </row>
    <row r="111" spans="18:33">
      <c r="R111"/>
      <c r="S111" t="s">
        <v>234</v>
      </c>
    </row>
    <row r="112" spans="18:33">
      <c r="R112" s="332" t="s">
        <v>215</v>
      </c>
      <c r="S112" s="332" t="s">
        <v>214</v>
      </c>
      <c r="U112" s="347">
        <v>0</v>
      </c>
      <c r="V112" s="347">
        <v>0</v>
      </c>
      <c r="W112" s="347">
        <v>0</v>
      </c>
      <c r="X112" s="347">
        <v>91200</v>
      </c>
      <c r="Y112" s="347">
        <v>91200</v>
      </c>
      <c r="Z112" s="347">
        <v>91200</v>
      </c>
      <c r="AA112" s="347">
        <v>91200</v>
      </c>
      <c r="AB112" s="347">
        <v>91200</v>
      </c>
      <c r="AC112" s="347">
        <v>91200</v>
      </c>
      <c r="AD112" s="347">
        <v>91200</v>
      </c>
      <c r="AE112" s="347">
        <v>91200</v>
      </c>
      <c r="AF112" s="347">
        <v>91200</v>
      </c>
      <c r="AG112" s="347">
        <f>SUM(T112:AF112)</f>
        <v>820800</v>
      </c>
    </row>
    <row r="113" spans="18:34">
      <c r="R113" s="332" t="s">
        <v>218</v>
      </c>
      <c r="S113" s="332" t="s">
        <v>214</v>
      </c>
      <c r="U113" s="347">
        <v>0</v>
      </c>
      <c r="V113" s="347">
        <v>700000</v>
      </c>
      <c r="W113" s="347">
        <v>700000</v>
      </c>
      <c r="X113" s="347">
        <v>700000</v>
      </c>
      <c r="Y113" s="347">
        <v>700000</v>
      </c>
      <c r="Z113" s="347">
        <v>800000</v>
      </c>
      <c r="AA113" s="347">
        <v>800000</v>
      </c>
      <c r="AB113" s="347">
        <v>800000</v>
      </c>
      <c r="AC113" s="347">
        <v>800000</v>
      </c>
      <c r="AD113" s="347">
        <v>800000</v>
      </c>
      <c r="AE113" s="347">
        <v>800000</v>
      </c>
      <c r="AF113" s="347">
        <v>800000</v>
      </c>
      <c r="AG113" s="347">
        <f>SUM(T113:AF113)</f>
        <v>8400000</v>
      </c>
    </row>
    <row r="114" spans="18:34">
      <c r="AG114" s="347"/>
    </row>
    <row r="115" spans="18:34">
      <c r="S115" s="332" t="s">
        <v>216</v>
      </c>
      <c r="U115" s="347">
        <v>0</v>
      </c>
      <c r="V115" s="347">
        <v>0</v>
      </c>
      <c r="W115" s="347">
        <v>0</v>
      </c>
      <c r="X115" s="347">
        <v>19200</v>
      </c>
      <c r="Y115" s="347">
        <v>19200</v>
      </c>
      <c r="Z115" s="347">
        <v>19200</v>
      </c>
      <c r="AA115" s="347">
        <v>19200</v>
      </c>
      <c r="AB115" s="347">
        <v>19200</v>
      </c>
      <c r="AC115" s="347">
        <v>19200</v>
      </c>
      <c r="AD115" s="347">
        <v>19200</v>
      </c>
      <c r="AE115" s="347">
        <v>19200</v>
      </c>
      <c r="AF115" s="347">
        <v>19200</v>
      </c>
      <c r="AG115" s="347">
        <f>SUM(T115:AF115)</f>
        <v>172800</v>
      </c>
    </row>
    <row r="116" spans="18:34">
      <c r="S116" s="332" t="s">
        <v>216</v>
      </c>
      <c r="U116" s="347">
        <v>0</v>
      </c>
      <c r="V116" s="347">
        <v>100000</v>
      </c>
      <c r="W116" s="347">
        <v>100000</v>
      </c>
      <c r="X116" s="347">
        <v>100000</v>
      </c>
      <c r="Y116" s="347">
        <v>100000</v>
      </c>
      <c r="Z116" s="347">
        <v>200000</v>
      </c>
      <c r="AA116" s="347">
        <v>200000</v>
      </c>
      <c r="AB116" s="347">
        <v>200000</v>
      </c>
      <c r="AC116" s="347">
        <v>200000</v>
      </c>
      <c r="AD116" s="347">
        <v>200000</v>
      </c>
      <c r="AE116" s="347">
        <v>200000</v>
      </c>
      <c r="AF116" s="347">
        <v>200000</v>
      </c>
      <c r="AG116" s="347">
        <f>SUM(T116:AF116)</f>
        <v>1800000</v>
      </c>
    </row>
    <row r="117" spans="18:34">
      <c r="AG117" s="347"/>
    </row>
    <row r="118" spans="18:34">
      <c r="S118" s="332" t="s">
        <v>217</v>
      </c>
      <c r="U118" s="347">
        <v>200000</v>
      </c>
      <c r="V118" s="347">
        <v>200000</v>
      </c>
      <c r="W118" s="347">
        <v>200000</v>
      </c>
      <c r="X118" s="347">
        <v>200000</v>
      </c>
      <c r="Y118" s="347">
        <v>200000</v>
      </c>
      <c r="Z118" s="347">
        <v>200000</v>
      </c>
      <c r="AA118" s="347">
        <v>200000</v>
      </c>
      <c r="AB118" s="347">
        <v>200000</v>
      </c>
      <c r="AC118" s="347">
        <v>200000</v>
      </c>
      <c r="AD118" s="347">
        <v>200000</v>
      </c>
      <c r="AE118" s="347">
        <v>200000</v>
      </c>
      <c r="AF118" s="347">
        <v>200000</v>
      </c>
      <c r="AG118" s="347">
        <f>SUM(U118:AF118)</f>
        <v>2400000</v>
      </c>
      <c r="AH118" s="347">
        <f>SUM(AG112:AG118)</f>
        <v>13593600</v>
      </c>
    </row>
    <row r="120" spans="18:34">
      <c r="R120" s="332" t="s">
        <v>235</v>
      </c>
    </row>
    <row r="121" spans="18:34">
      <c r="R121" s="332" t="s">
        <v>215</v>
      </c>
      <c r="S121" s="332" t="s">
        <v>214</v>
      </c>
      <c r="T121" s="332">
        <v>4000</v>
      </c>
      <c r="U121" s="347">
        <f>$T$121*$U$36</f>
        <v>0</v>
      </c>
      <c r="V121" s="347">
        <f>$T$121*$V$36</f>
        <v>0</v>
      </c>
      <c r="W121" s="347">
        <f>$T$121*$W$36</f>
        <v>0</v>
      </c>
      <c r="X121" s="347">
        <f>$T$121*$X$36</f>
        <v>96000</v>
      </c>
      <c r="Y121" s="347">
        <f>$T$121*$Y$36</f>
        <v>96000</v>
      </c>
      <c r="Z121" s="347">
        <f>$T$121*$Z$36</f>
        <v>96000</v>
      </c>
      <c r="AA121" s="347">
        <f>$T$121*$AA$36</f>
        <v>96000</v>
      </c>
      <c r="AB121" s="347">
        <f>$T$121*$AB$36</f>
        <v>96000</v>
      </c>
      <c r="AC121" s="347">
        <f>$T$121*$AC$36</f>
        <v>96000</v>
      </c>
      <c r="AD121" s="347">
        <f>$T$121*$AD$36</f>
        <v>96000</v>
      </c>
      <c r="AE121" s="347">
        <f>$T$121*$AE$36</f>
        <v>96000</v>
      </c>
      <c r="AF121" s="347">
        <f>$T$121*$AF$36</f>
        <v>96000</v>
      </c>
      <c r="AG121" s="347">
        <f>SUM(U121:AF121)</f>
        <v>864000</v>
      </c>
    </row>
    <row r="122" spans="18:34">
      <c r="S122" s="332" t="s">
        <v>216</v>
      </c>
      <c r="T122" s="332">
        <v>3110</v>
      </c>
      <c r="U122" s="347">
        <f>$T122*$U$37</f>
        <v>0</v>
      </c>
      <c r="V122" s="347">
        <f>$T122*$V$37</f>
        <v>0</v>
      </c>
      <c r="W122" s="347">
        <f>$T$122*$W$37</f>
        <v>0</v>
      </c>
      <c r="X122" s="347">
        <f>$T$122*$X$37</f>
        <v>18660</v>
      </c>
      <c r="Y122" s="347">
        <f>$T$122*$Y$37</f>
        <v>18660</v>
      </c>
      <c r="Z122" s="347">
        <f>$T122*$Z$37</f>
        <v>18660</v>
      </c>
      <c r="AA122" s="347">
        <f>$T122*$Z$37</f>
        <v>18660</v>
      </c>
      <c r="AB122" s="347">
        <f>$T122*$Z$37</f>
        <v>18660</v>
      </c>
      <c r="AC122" s="347">
        <f>$T122*$Z$37</f>
        <v>18660</v>
      </c>
      <c r="AD122" s="347">
        <f t="shared" ref="AD122:AF122" si="45">$T122*$Z$37</f>
        <v>18660</v>
      </c>
      <c r="AE122" s="347">
        <f t="shared" si="45"/>
        <v>18660</v>
      </c>
      <c r="AF122" s="347">
        <f t="shared" si="45"/>
        <v>18660</v>
      </c>
      <c r="AG122" s="347">
        <f t="shared" ref="AG122:AG123" si="46">SUM(U122:AF122)</f>
        <v>167940</v>
      </c>
    </row>
    <row r="123" spans="18:34">
      <c r="S123" s="332" t="s">
        <v>217</v>
      </c>
      <c r="T123" s="332">
        <v>7000</v>
      </c>
      <c r="U123" s="347">
        <f>$T$123*$U$38</f>
        <v>140000</v>
      </c>
      <c r="V123" s="347">
        <f>$T$123*$V$38</f>
        <v>140000</v>
      </c>
      <c r="W123" s="347">
        <f>$T123*$W$38</f>
        <v>140000</v>
      </c>
      <c r="X123" s="347">
        <f t="shared" ref="X123:AF123" si="47">$T123*$W$38</f>
        <v>140000</v>
      </c>
      <c r="Y123" s="347">
        <f t="shared" si="47"/>
        <v>140000</v>
      </c>
      <c r="Z123" s="347">
        <f t="shared" si="47"/>
        <v>140000</v>
      </c>
      <c r="AA123" s="347">
        <f t="shared" si="47"/>
        <v>140000</v>
      </c>
      <c r="AB123" s="347">
        <f t="shared" si="47"/>
        <v>140000</v>
      </c>
      <c r="AC123" s="347">
        <f t="shared" si="47"/>
        <v>140000</v>
      </c>
      <c r="AD123" s="347">
        <f t="shared" si="47"/>
        <v>140000</v>
      </c>
      <c r="AE123" s="347">
        <f t="shared" si="47"/>
        <v>140000</v>
      </c>
      <c r="AF123" s="347">
        <f t="shared" si="47"/>
        <v>140000</v>
      </c>
      <c r="AG123" s="347">
        <f t="shared" si="46"/>
        <v>1680000</v>
      </c>
    </row>
    <row r="124" spans="18:34">
      <c r="R124" s="332" t="s">
        <v>218</v>
      </c>
      <c r="S124" s="332" t="s">
        <v>214</v>
      </c>
      <c r="U124" s="347">
        <f>$T$121*$U$39</f>
        <v>0</v>
      </c>
      <c r="V124" s="347">
        <f>$T$121*$V$39</f>
        <v>280000</v>
      </c>
      <c r="W124" s="347">
        <f>$T$121*$W$39</f>
        <v>280000</v>
      </c>
      <c r="X124" s="347">
        <f>$T$121*$X$39</f>
        <v>280000</v>
      </c>
      <c r="Y124" s="347">
        <f>$T$121*$Y$39</f>
        <v>280000</v>
      </c>
      <c r="Z124" s="347">
        <f>$T$121*$Z$39</f>
        <v>320000</v>
      </c>
      <c r="AA124" s="347">
        <f>$T$121*$AA$39</f>
        <v>320000</v>
      </c>
      <c r="AB124" s="347">
        <f>$T$121*$AB$39</f>
        <v>320000</v>
      </c>
      <c r="AC124" s="347">
        <f>$T$121*$AC$39</f>
        <v>320000</v>
      </c>
      <c r="AD124" s="347">
        <f>$T$121*$AD$39</f>
        <v>320000</v>
      </c>
      <c r="AE124" s="347">
        <f>$T$121*$AE$39</f>
        <v>320000</v>
      </c>
      <c r="AF124" s="347">
        <f>$T$121*$AF$39</f>
        <v>320000</v>
      </c>
      <c r="AG124" s="347">
        <f>SUM(U124:AF124)</f>
        <v>3360000</v>
      </c>
    </row>
    <row r="125" spans="18:34">
      <c r="S125" s="332" t="s">
        <v>216</v>
      </c>
      <c r="T125" s="332">
        <v>3110</v>
      </c>
      <c r="U125" s="347">
        <f>$T125*$U$40</f>
        <v>0</v>
      </c>
      <c r="V125" s="347">
        <f>$T125*$V$40</f>
        <v>31100</v>
      </c>
      <c r="W125" s="347">
        <f>$T$122*$W$40</f>
        <v>31100</v>
      </c>
      <c r="X125" s="347">
        <f>$T$122*$X$40</f>
        <v>31100</v>
      </c>
      <c r="Y125" s="347">
        <f>$T$122*$Y$40</f>
        <v>31100</v>
      </c>
      <c r="Z125" s="347">
        <f>$T125*$Z$40</f>
        <v>62200</v>
      </c>
      <c r="AA125" s="347">
        <f>$T125*$Z$40</f>
        <v>62200</v>
      </c>
      <c r="AB125" s="347">
        <f>$T125*$Z$40</f>
        <v>62200</v>
      </c>
      <c r="AC125" s="347">
        <f>$T125*$Z$40</f>
        <v>62200</v>
      </c>
      <c r="AD125" s="347">
        <f>$T125*$Z$40</f>
        <v>62200</v>
      </c>
      <c r="AE125" s="347">
        <f>$T125*$Z$40</f>
        <v>62200</v>
      </c>
      <c r="AF125" s="347">
        <f>$T125*$Z$40</f>
        <v>62200</v>
      </c>
      <c r="AG125" s="347">
        <f>SUM(U125:AF125)</f>
        <v>559800</v>
      </c>
      <c r="AH125" s="347">
        <f>SUM(AG121:AG125)</f>
        <v>6631740</v>
      </c>
    </row>
    <row r="127" spans="18:34">
      <c r="AF127" s="347">
        <f>AH127-AG127</f>
        <v>-2678340</v>
      </c>
      <c r="AG127" s="347">
        <f>SUM(AG121:AG124)</f>
        <v>6071940</v>
      </c>
      <c r="AH127" s="347">
        <f>AG112+AG115+AG118</f>
        <v>3393600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EE85-96E1-4695-9A40-F8B8DEF8947E}">
  <sheetPr>
    <tabColor theme="4"/>
  </sheetPr>
  <dimension ref="A1:AW127"/>
  <sheetViews>
    <sheetView workbookViewId="0"/>
  </sheetViews>
  <sheetFormatPr defaultColWidth="8.625" defaultRowHeight="15.75"/>
  <cols>
    <col min="1" max="1" width="8.625" style="332"/>
    <col min="2" max="2" width="32.5" style="332" customWidth="1"/>
    <col min="3" max="3" width="19" style="332" customWidth="1"/>
    <col min="4" max="4" width="4.875" style="332" bestFit="1" customWidth="1"/>
    <col min="5" max="12" width="3.875" style="332" bestFit="1" customWidth="1"/>
    <col min="13" max="15" width="4.75" style="332" bestFit="1" customWidth="1"/>
    <col min="16" max="16" width="4.5" style="332" bestFit="1" customWidth="1"/>
    <col min="17" max="17" width="9" style="346"/>
    <col min="18" max="18" width="14.5" style="332" bestFit="1" customWidth="1"/>
    <col min="19" max="19" width="33.875" style="332" bestFit="1" customWidth="1"/>
    <col min="20" max="20" width="10" style="332" customWidth="1"/>
    <col min="21" max="32" width="12.75" style="347" customWidth="1"/>
    <col min="33" max="34" width="11.25" style="332" customWidth="1"/>
    <col min="35" max="47" width="9" style="332"/>
    <col min="48" max="48" width="9.5" style="332" bestFit="1" customWidth="1"/>
    <col min="49" max="16384" width="8.625" style="332"/>
  </cols>
  <sheetData>
    <row r="1" spans="1:33" ht="18">
      <c r="R1" s="332" t="s">
        <v>199</v>
      </c>
      <c r="S1" s="332" t="s">
        <v>200</v>
      </c>
    </row>
    <row r="2" spans="1:33" ht="18">
      <c r="A2" s="333" t="s">
        <v>201</v>
      </c>
      <c r="B2" s="333"/>
      <c r="C2" s="333"/>
      <c r="D2" s="334" t="s">
        <v>202</v>
      </c>
      <c r="E2" s="334" t="s">
        <v>159</v>
      </c>
      <c r="F2" s="334" t="s">
        <v>129</v>
      </c>
      <c r="G2" s="334" t="s">
        <v>130</v>
      </c>
      <c r="H2" s="334" t="s">
        <v>131</v>
      </c>
      <c r="I2" s="334" t="s">
        <v>132</v>
      </c>
      <c r="J2" s="334" t="s">
        <v>133</v>
      </c>
      <c r="K2" s="334" t="s">
        <v>134</v>
      </c>
      <c r="L2" s="334" t="s">
        <v>135</v>
      </c>
      <c r="M2" s="334" t="s">
        <v>136</v>
      </c>
      <c r="N2" s="334" t="s">
        <v>137</v>
      </c>
      <c r="O2" s="334" t="s">
        <v>138</v>
      </c>
      <c r="P2" s="334" t="s">
        <v>122</v>
      </c>
      <c r="R2" s="333" t="s">
        <v>201</v>
      </c>
      <c r="S2" s="333"/>
      <c r="T2" s="333"/>
      <c r="U2" s="348" t="s">
        <v>202</v>
      </c>
      <c r="V2" s="348" t="s">
        <v>159</v>
      </c>
      <c r="W2" s="348" t="s">
        <v>129</v>
      </c>
      <c r="X2" s="348" t="s">
        <v>130</v>
      </c>
      <c r="Y2" s="348" t="s">
        <v>131</v>
      </c>
      <c r="Z2" s="348" t="s">
        <v>132</v>
      </c>
      <c r="AA2" s="348" t="s">
        <v>133</v>
      </c>
      <c r="AB2" s="348" t="s">
        <v>134</v>
      </c>
      <c r="AC2" s="348" t="s">
        <v>135</v>
      </c>
      <c r="AD2" s="348" t="s">
        <v>136</v>
      </c>
      <c r="AE2" s="348" t="s">
        <v>137</v>
      </c>
      <c r="AF2" s="348" t="s">
        <v>138</v>
      </c>
      <c r="AG2" s="334" t="s">
        <v>122</v>
      </c>
    </row>
    <row r="3" spans="1:33" ht="18">
      <c r="A3" s="333"/>
      <c r="B3" s="335" t="s">
        <v>203</v>
      </c>
      <c r="C3" s="333">
        <v>3690</v>
      </c>
      <c r="D3" s="333">
        <v>1</v>
      </c>
      <c r="E3" s="333">
        <v>1</v>
      </c>
      <c r="F3" s="333">
        <v>1</v>
      </c>
      <c r="G3" s="333">
        <v>1</v>
      </c>
      <c r="H3" s="333">
        <v>1</v>
      </c>
      <c r="I3" s="333">
        <v>1</v>
      </c>
      <c r="J3" s="333">
        <v>1</v>
      </c>
      <c r="K3" s="333">
        <v>1</v>
      </c>
      <c r="L3" s="333">
        <v>1</v>
      </c>
      <c r="M3" s="333">
        <v>1</v>
      </c>
      <c r="N3" s="333">
        <v>1</v>
      </c>
      <c r="O3" s="333">
        <v>1</v>
      </c>
      <c r="P3" s="333"/>
      <c r="R3" s="333"/>
      <c r="S3" s="335" t="s">
        <v>203</v>
      </c>
      <c r="T3" s="333">
        <v>3690</v>
      </c>
      <c r="U3" s="349">
        <v>1</v>
      </c>
      <c r="V3" s="349">
        <v>1</v>
      </c>
      <c r="W3" s="349">
        <v>1</v>
      </c>
      <c r="X3" s="349">
        <v>1</v>
      </c>
      <c r="Y3" s="349">
        <v>1</v>
      </c>
      <c r="Z3" s="349">
        <v>1</v>
      </c>
      <c r="AA3" s="349">
        <v>1</v>
      </c>
      <c r="AB3" s="349">
        <v>1</v>
      </c>
      <c r="AC3" s="349">
        <v>1</v>
      </c>
      <c r="AD3" s="349">
        <v>1</v>
      </c>
      <c r="AE3" s="349">
        <v>1</v>
      </c>
      <c r="AF3" s="349">
        <v>1</v>
      </c>
      <c r="AG3" s="333"/>
    </row>
    <row r="4" spans="1:33" ht="18">
      <c r="A4" s="333"/>
      <c r="B4" s="335" t="s">
        <v>204</v>
      </c>
      <c r="C4" s="333">
        <v>4130</v>
      </c>
      <c r="D4" s="333">
        <v>80</v>
      </c>
      <c r="E4" s="333">
        <v>80</v>
      </c>
      <c r="F4" s="333">
        <v>80</v>
      </c>
      <c r="G4" s="333">
        <v>80</v>
      </c>
      <c r="H4" s="333">
        <v>80</v>
      </c>
      <c r="I4" s="333">
        <v>80</v>
      </c>
      <c r="J4" s="333">
        <v>80</v>
      </c>
      <c r="K4" s="333">
        <v>80</v>
      </c>
      <c r="L4" s="333">
        <v>80</v>
      </c>
      <c r="M4" s="333">
        <v>80</v>
      </c>
      <c r="N4" s="333">
        <v>80</v>
      </c>
      <c r="O4" s="333">
        <v>80</v>
      </c>
      <c r="P4" s="333"/>
      <c r="R4" s="333"/>
      <c r="S4" s="335" t="s">
        <v>204</v>
      </c>
      <c r="T4" s="333">
        <v>4130</v>
      </c>
      <c r="U4" s="349">
        <v>80</v>
      </c>
      <c r="V4" s="349">
        <v>80</v>
      </c>
      <c r="W4" s="349">
        <v>80</v>
      </c>
      <c r="X4" s="349">
        <v>80</v>
      </c>
      <c r="Y4" s="349">
        <v>80</v>
      </c>
      <c r="Z4" s="349">
        <v>80</v>
      </c>
      <c r="AA4" s="349">
        <v>80</v>
      </c>
      <c r="AB4" s="349">
        <v>80</v>
      </c>
      <c r="AC4" s="349">
        <v>80</v>
      </c>
      <c r="AD4" s="349">
        <v>80</v>
      </c>
      <c r="AE4" s="349">
        <v>80</v>
      </c>
      <c r="AF4" s="349">
        <v>80</v>
      </c>
      <c r="AG4" s="333"/>
    </row>
    <row r="5" spans="1:33" ht="18">
      <c r="A5" s="333"/>
      <c r="B5" s="335" t="s">
        <v>205</v>
      </c>
      <c r="C5" s="333">
        <v>6750</v>
      </c>
      <c r="D5" s="333">
        <v>2</v>
      </c>
      <c r="E5" s="333">
        <v>2</v>
      </c>
      <c r="F5" s="333">
        <v>2</v>
      </c>
      <c r="G5" s="333">
        <v>2</v>
      </c>
      <c r="H5" s="333">
        <v>2</v>
      </c>
      <c r="I5" s="333">
        <v>2</v>
      </c>
      <c r="J5" s="333">
        <v>2</v>
      </c>
      <c r="K5" s="333">
        <v>2</v>
      </c>
      <c r="L5" s="333">
        <v>2</v>
      </c>
      <c r="M5" s="333">
        <v>2</v>
      </c>
      <c r="N5" s="333">
        <v>2</v>
      </c>
      <c r="O5" s="333">
        <v>2</v>
      </c>
      <c r="P5" s="333"/>
      <c r="R5" s="333"/>
      <c r="S5" s="335" t="s">
        <v>205</v>
      </c>
      <c r="T5" s="333">
        <v>6750</v>
      </c>
      <c r="U5" s="349">
        <v>2</v>
      </c>
      <c r="V5" s="349">
        <v>2</v>
      </c>
      <c r="W5" s="349">
        <v>2</v>
      </c>
      <c r="X5" s="349">
        <v>2</v>
      </c>
      <c r="Y5" s="349">
        <v>2</v>
      </c>
      <c r="Z5" s="349">
        <v>2</v>
      </c>
      <c r="AA5" s="349">
        <v>2</v>
      </c>
      <c r="AB5" s="349">
        <v>2</v>
      </c>
      <c r="AC5" s="349">
        <v>2</v>
      </c>
      <c r="AD5" s="349">
        <v>2</v>
      </c>
      <c r="AE5" s="349">
        <v>2</v>
      </c>
      <c r="AF5" s="349">
        <v>2</v>
      </c>
      <c r="AG5" s="333"/>
    </row>
    <row r="6" spans="1:33" ht="18">
      <c r="A6" s="333"/>
      <c r="B6" s="335" t="s">
        <v>206</v>
      </c>
      <c r="C6" s="333">
        <v>4200</v>
      </c>
      <c r="D6" s="333">
        <v>18</v>
      </c>
      <c r="E6" s="333">
        <v>18</v>
      </c>
      <c r="F6" s="333">
        <v>18</v>
      </c>
      <c r="G6" s="333">
        <v>18</v>
      </c>
      <c r="H6" s="333">
        <v>18</v>
      </c>
      <c r="I6" s="333">
        <v>18</v>
      </c>
      <c r="J6" s="333">
        <v>18</v>
      </c>
      <c r="K6" s="333">
        <v>18</v>
      </c>
      <c r="L6" s="333">
        <v>18</v>
      </c>
      <c r="M6" s="333">
        <v>18</v>
      </c>
      <c r="N6" s="333">
        <v>18</v>
      </c>
      <c r="O6" s="333">
        <v>18</v>
      </c>
      <c r="P6" s="333"/>
      <c r="R6" s="333"/>
      <c r="S6" s="335" t="s">
        <v>206</v>
      </c>
      <c r="T6" s="333">
        <v>4200</v>
      </c>
      <c r="U6" s="349">
        <v>18</v>
      </c>
      <c r="V6" s="349">
        <v>18</v>
      </c>
      <c r="W6" s="349">
        <v>18</v>
      </c>
      <c r="X6" s="349">
        <v>18</v>
      </c>
      <c r="Y6" s="349">
        <v>18</v>
      </c>
      <c r="Z6" s="349">
        <v>18</v>
      </c>
      <c r="AA6" s="349">
        <v>18</v>
      </c>
      <c r="AB6" s="349">
        <v>18</v>
      </c>
      <c r="AC6" s="349">
        <v>18</v>
      </c>
      <c r="AD6" s="349">
        <v>18</v>
      </c>
      <c r="AE6" s="349">
        <v>18</v>
      </c>
      <c r="AF6" s="349">
        <v>18</v>
      </c>
      <c r="AG6" s="333"/>
    </row>
    <row r="7" spans="1:33" ht="18">
      <c r="A7" s="333"/>
      <c r="B7" s="335" t="s">
        <v>207</v>
      </c>
      <c r="C7" s="333">
        <v>4010</v>
      </c>
      <c r="D7" s="333">
        <v>70</v>
      </c>
      <c r="E7" s="333">
        <v>70</v>
      </c>
      <c r="F7" s="333">
        <v>70</v>
      </c>
      <c r="G7" s="333">
        <v>70</v>
      </c>
      <c r="H7" s="333">
        <v>70</v>
      </c>
      <c r="I7" s="333">
        <v>70</v>
      </c>
      <c r="J7" s="333">
        <v>70</v>
      </c>
      <c r="K7" s="333">
        <v>70</v>
      </c>
      <c r="L7" s="333">
        <v>70</v>
      </c>
      <c r="M7" s="333">
        <v>70</v>
      </c>
      <c r="N7" s="333">
        <v>70</v>
      </c>
      <c r="O7" s="333">
        <v>70</v>
      </c>
      <c r="P7" s="333"/>
      <c r="R7" s="333"/>
      <c r="S7" s="335" t="s">
        <v>207</v>
      </c>
      <c r="T7" s="333">
        <v>4010</v>
      </c>
      <c r="U7" s="349">
        <v>70</v>
      </c>
      <c r="V7" s="349">
        <v>70</v>
      </c>
      <c r="W7" s="349">
        <v>70</v>
      </c>
      <c r="X7" s="349">
        <v>70</v>
      </c>
      <c r="Y7" s="349">
        <v>70</v>
      </c>
      <c r="Z7" s="349">
        <v>70</v>
      </c>
      <c r="AA7" s="349">
        <v>70</v>
      </c>
      <c r="AB7" s="349">
        <v>70</v>
      </c>
      <c r="AC7" s="349">
        <v>70</v>
      </c>
      <c r="AD7" s="349">
        <v>70</v>
      </c>
      <c r="AE7" s="349">
        <v>70</v>
      </c>
      <c r="AF7" s="349">
        <v>70</v>
      </c>
      <c r="AG7" s="333"/>
    </row>
    <row r="8" spans="1:33" ht="18">
      <c r="A8" s="333"/>
      <c r="B8" s="335" t="s">
        <v>208</v>
      </c>
      <c r="C8" s="333">
        <v>3800</v>
      </c>
      <c r="D8" s="333">
        <v>135</v>
      </c>
      <c r="E8" s="333">
        <v>135</v>
      </c>
      <c r="F8" s="333">
        <v>135</v>
      </c>
      <c r="G8" s="333">
        <v>135</v>
      </c>
      <c r="H8" s="333">
        <v>135</v>
      </c>
      <c r="I8" s="333">
        <v>135</v>
      </c>
      <c r="J8" s="333">
        <v>135</v>
      </c>
      <c r="K8" s="333">
        <v>135</v>
      </c>
      <c r="L8" s="333">
        <v>135</v>
      </c>
      <c r="M8" s="333">
        <v>135</v>
      </c>
      <c r="N8" s="333">
        <v>135</v>
      </c>
      <c r="O8" s="333">
        <v>135</v>
      </c>
      <c r="P8" s="333"/>
      <c r="R8" s="333"/>
      <c r="S8" s="335" t="s">
        <v>208</v>
      </c>
      <c r="T8" s="333">
        <v>3800</v>
      </c>
      <c r="U8" s="349">
        <v>135</v>
      </c>
      <c r="V8" s="349">
        <v>135</v>
      </c>
      <c r="W8" s="349">
        <v>135</v>
      </c>
      <c r="X8" s="349">
        <v>135</v>
      </c>
      <c r="Y8" s="349">
        <v>135</v>
      </c>
      <c r="Z8" s="349">
        <v>135</v>
      </c>
      <c r="AA8" s="349">
        <v>135</v>
      </c>
      <c r="AB8" s="349">
        <v>135</v>
      </c>
      <c r="AC8" s="349">
        <v>135</v>
      </c>
      <c r="AD8" s="349">
        <v>135</v>
      </c>
      <c r="AE8" s="349">
        <v>135</v>
      </c>
      <c r="AF8" s="349">
        <v>135</v>
      </c>
      <c r="AG8" s="333"/>
    </row>
    <row r="9" spans="1:33" ht="18">
      <c r="A9" s="333"/>
      <c r="B9" s="335" t="s">
        <v>209</v>
      </c>
      <c r="C9" s="333">
        <v>3850</v>
      </c>
      <c r="D9" s="333">
        <v>190</v>
      </c>
      <c r="E9" s="333">
        <v>190</v>
      </c>
      <c r="F9" s="333">
        <v>190</v>
      </c>
      <c r="G9" s="333">
        <v>190</v>
      </c>
      <c r="H9" s="333">
        <v>190</v>
      </c>
      <c r="I9" s="333">
        <v>190</v>
      </c>
      <c r="J9" s="333">
        <v>190</v>
      </c>
      <c r="K9" s="333">
        <v>190</v>
      </c>
      <c r="L9" s="333">
        <v>190</v>
      </c>
      <c r="M9" s="333">
        <v>190</v>
      </c>
      <c r="N9" s="333">
        <v>190</v>
      </c>
      <c r="O9" s="333">
        <v>190</v>
      </c>
      <c r="P9" s="333"/>
      <c r="R9" s="333"/>
      <c r="S9" s="335" t="s">
        <v>209</v>
      </c>
      <c r="T9" s="333">
        <v>3850</v>
      </c>
      <c r="U9" s="349">
        <v>190</v>
      </c>
      <c r="V9" s="349">
        <v>190</v>
      </c>
      <c r="W9" s="349">
        <v>190</v>
      </c>
      <c r="X9" s="349">
        <v>190</v>
      </c>
      <c r="Y9" s="349">
        <v>190</v>
      </c>
      <c r="Z9" s="349">
        <v>190</v>
      </c>
      <c r="AA9" s="349">
        <v>190</v>
      </c>
      <c r="AB9" s="349">
        <v>190</v>
      </c>
      <c r="AC9" s="349">
        <v>190</v>
      </c>
      <c r="AD9" s="349">
        <v>190</v>
      </c>
      <c r="AE9" s="349">
        <v>190</v>
      </c>
      <c r="AF9" s="349">
        <v>190</v>
      </c>
      <c r="AG9" s="333"/>
    </row>
    <row r="10" spans="1:33" ht="18">
      <c r="A10" s="333"/>
      <c r="B10" s="335" t="s">
        <v>210</v>
      </c>
      <c r="C10" s="333">
        <v>2630</v>
      </c>
      <c r="D10" s="333">
        <v>100</v>
      </c>
      <c r="E10" s="333">
        <v>100</v>
      </c>
      <c r="F10" s="333">
        <v>100</v>
      </c>
      <c r="G10" s="333">
        <v>100</v>
      </c>
      <c r="H10" s="333">
        <v>100</v>
      </c>
      <c r="I10" s="333">
        <v>100</v>
      </c>
      <c r="J10" s="333">
        <v>100</v>
      </c>
      <c r="K10" s="333">
        <v>100</v>
      </c>
      <c r="L10" s="333">
        <v>100</v>
      </c>
      <c r="M10" s="333">
        <v>100</v>
      </c>
      <c r="N10" s="333">
        <v>100</v>
      </c>
      <c r="O10" s="333">
        <v>100</v>
      </c>
      <c r="P10" s="333"/>
      <c r="R10" s="333"/>
      <c r="S10" s="335" t="s">
        <v>210</v>
      </c>
      <c r="T10" s="333">
        <v>2630</v>
      </c>
      <c r="U10" s="349">
        <v>100</v>
      </c>
      <c r="V10" s="349">
        <v>100</v>
      </c>
      <c r="W10" s="349">
        <v>100</v>
      </c>
      <c r="X10" s="349">
        <v>100</v>
      </c>
      <c r="Y10" s="349">
        <v>100</v>
      </c>
      <c r="Z10" s="349">
        <v>100</v>
      </c>
      <c r="AA10" s="349">
        <v>100</v>
      </c>
      <c r="AB10" s="349">
        <v>100</v>
      </c>
      <c r="AC10" s="349">
        <v>100</v>
      </c>
      <c r="AD10" s="349">
        <v>100</v>
      </c>
      <c r="AE10" s="349">
        <v>100</v>
      </c>
      <c r="AF10" s="349">
        <v>100</v>
      </c>
      <c r="AG10" s="333"/>
    </row>
    <row r="11" spans="1:33" ht="18">
      <c r="A11" s="333"/>
      <c r="B11" s="335" t="s">
        <v>211</v>
      </c>
      <c r="C11" s="333">
        <v>4200</v>
      </c>
      <c r="D11" s="333">
        <v>1</v>
      </c>
      <c r="E11" s="333">
        <v>1</v>
      </c>
      <c r="F11" s="333">
        <v>1</v>
      </c>
      <c r="G11" s="333">
        <v>1</v>
      </c>
      <c r="H11" s="333">
        <v>1</v>
      </c>
      <c r="I11" s="333">
        <v>1</v>
      </c>
      <c r="J11" s="333">
        <v>1</v>
      </c>
      <c r="K11" s="333">
        <v>1</v>
      </c>
      <c r="L11" s="333">
        <v>1</v>
      </c>
      <c r="M11" s="333">
        <v>1</v>
      </c>
      <c r="N11" s="333">
        <v>1</v>
      </c>
      <c r="O11" s="333">
        <v>1</v>
      </c>
      <c r="P11" s="333"/>
      <c r="R11" s="333"/>
      <c r="S11" s="335" t="s">
        <v>211</v>
      </c>
      <c r="T11" s="333">
        <v>4200</v>
      </c>
      <c r="U11" s="349">
        <v>1</v>
      </c>
      <c r="V11" s="349">
        <v>1</v>
      </c>
      <c r="W11" s="349">
        <v>1</v>
      </c>
      <c r="X11" s="349">
        <v>1</v>
      </c>
      <c r="Y11" s="349">
        <v>1</v>
      </c>
      <c r="Z11" s="349">
        <v>1</v>
      </c>
      <c r="AA11" s="349">
        <v>1</v>
      </c>
      <c r="AB11" s="349">
        <v>1</v>
      </c>
      <c r="AC11" s="349">
        <v>1</v>
      </c>
      <c r="AD11" s="349">
        <v>1</v>
      </c>
      <c r="AE11" s="349">
        <v>1</v>
      </c>
      <c r="AF11" s="349">
        <v>1</v>
      </c>
      <c r="AG11" s="333"/>
    </row>
    <row r="12" spans="1:33" ht="18">
      <c r="B12" s="336"/>
    </row>
    <row r="13" spans="1:33" ht="18">
      <c r="S13" s="332" t="s">
        <v>200</v>
      </c>
    </row>
    <row r="14" spans="1:33" ht="18">
      <c r="A14" s="337" t="s">
        <v>212</v>
      </c>
      <c r="B14" s="337"/>
      <c r="C14" s="337"/>
      <c r="D14" s="338" t="s">
        <v>202</v>
      </c>
      <c r="E14" s="338" t="s">
        <v>159</v>
      </c>
      <c r="F14" s="338" t="s">
        <v>129</v>
      </c>
      <c r="G14" s="338" t="s">
        <v>130</v>
      </c>
      <c r="H14" s="338" t="s">
        <v>131</v>
      </c>
      <c r="I14" s="338" t="s">
        <v>132</v>
      </c>
      <c r="J14" s="338" t="s">
        <v>133</v>
      </c>
      <c r="K14" s="338" t="s">
        <v>134</v>
      </c>
      <c r="L14" s="338" t="s">
        <v>135</v>
      </c>
      <c r="M14" s="338" t="s">
        <v>136</v>
      </c>
      <c r="N14" s="338" t="s">
        <v>137</v>
      </c>
      <c r="O14" s="338" t="s">
        <v>138</v>
      </c>
      <c r="P14" s="337"/>
      <c r="R14" s="337" t="s">
        <v>212</v>
      </c>
      <c r="S14" s="337"/>
      <c r="T14" s="337"/>
      <c r="U14" s="350" t="s">
        <v>202</v>
      </c>
      <c r="V14" s="350" t="s">
        <v>159</v>
      </c>
      <c r="W14" s="350" t="s">
        <v>129</v>
      </c>
      <c r="X14" s="350" t="s">
        <v>130</v>
      </c>
      <c r="Y14" s="350" t="s">
        <v>131</v>
      </c>
      <c r="Z14" s="350" t="s">
        <v>132</v>
      </c>
      <c r="AA14" s="350" t="s">
        <v>133</v>
      </c>
      <c r="AB14" s="350" t="s">
        <v>134</v>
      </c>
      <c r="AC14" s="350" t="s">
        <v>135</v>
      </c>
      <c r="AD14" s="350" t="s">
        <v>136</v>
      </c>
      <c r="AE14" s="350" t="s">
        <v>137</v>
      </c>
      <c r="AF14" s="350" t="s">
        <v>138</v>
      </c>
      <c r="AG14" s="337"/>
    </row>
    <row r="15" spans="1:33" ht="18">
      <c r="A15" s="337"/>
      <c r="B15" s="339" t="s">
        <v>203</v>
      </c>
      <c r="C15" s="337">
        <v>3690</v>
      </c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7"/>
      <c r="O15" s="337"/>
      <c r="P15" s="337"/>
      <c r="R15" s="337"/>
      <c r="S15" s="339" t="s">
        <v>203</v>
      </c>
      <c r="T15" s="337">
        <v>3690</v>
      </c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37"/>
    </row>
    <row r="16" spans="1:33" ht="18">
      <c r="A16" s="337"/>
      <c r="B16" s="339" t="s">
        <v>204</v>
      </c>
      <c r="C16" s="337">
        <v>4130</v>
      </c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R16" s="337"/>
      <c r="S16" s="339" t="s">
        <v>204</v>
      </c>
      <c r="T16" s="337">
        <v>4130</v>
      </c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37"/>
    </row>
    <row r="17" spans="1:47" ht="18">
      <c r="A17" s="337"/>
      <c r="B17" s="339" t="s">
        <v>205</v>
      </c>
      <c r="C17" s="337">
        <v>6750</v>
      </c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R17" s="337"/>
      <c r="S17" s="339" t="s">
        <v>205</v>
      </c>
      <c r="T17" s="337">
        <v>6750</v>
      </c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37"/>
    </row>
    <row r="18" spans="1:47" ht="18">
      <c r="A18" s="337"/>
      <c r="B18" s="339" t="s">
        <v>206</v>
      </c>
      <c r="C18" s="337">
        <v>4200</v>
      </c>
      <c r="D18" s="337">
        <v>15</v>
      </c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R18" s="337"/>
      <c r="S18" s="339" t="s">
        <v>206</v>
      </c>
      <c r="T18" s="337">
        <v>4200</v>
      </c>
      <c r="U18" s="351"/>
      <c r="V18" s="351">
        <v>18</v>
      </c>
      <c r="W18" s="351">
        <v>18</v>
      </c>
      <c r="X18" s="351">
        <v>18</v>
      </c>
      <c r="Y18" s="351">
        <v>18</v>
      </c>
      <c r="Z18" s="351">
        <v>18</v>
      </c>
      <c r="AA18" s="351">
        <v>18</v>
      </c>
      <c r="AB18" s="351">
        <v>18</v>
      </c>
      <c r="AC18" s="351">
        <v>18</v>
      </c>
      <c r="AD18" s="351">
        <v>18</v>
      </c>
      <c r="AE18" s="351">
        <v>18</v>
      </c>
      <c r="AF18" s="351">
        <v>18</v>
      </c>
      <c r="AG18" s="337"/>
    </row>
    <row r="19" spans="1:47" ht="18">
      <c r="A19" s="337"/>
      <c r="B19" s="339" t="s">
        <v>207</v>
      </c>
      <c r="C19" s="337">
        <v>4010</v>
      </c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R19" s="337"/>
      <c r="S19" s="339" t="s">
        <v>207</v>
      </c>
      <c r="T19" s="337">
        <v>4010</v>
      </c>
      <c r="U19" s="351"/>
      <c r="V19" s="351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37"/>
    </row>
    <row r="20" spans="1:47" ht="18">
      <c r="A20" s="337"/>
      <c r="B20" s="339" t="s">
        <v>208</v>
      </c>
      <c r="C20" s="337">
        <v>3800</v>
      </c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R20" s="337"/>
      <c r="S20" s="339" t="s">
        <v>208</v>
      </c>
      <c r="T20" s="337">
        <v>3800</v>
      </c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37"/>
    </row>
    <row r="21" spans="1:47" ht="18">
      <c r="A21" s="337"/>
      <c r="B21" s="339" t="s">
        <v>209</v>
      </c>
      <c r="C21" s="337">
        <v>3850</v>
      </c>
      <c r="D21" s="337"/>
      <c r="E21" s="337"/>
      <c r="F21" s="337"/>
      <c r="G21" s="337">
        <v>30</v>
      </c>
      <c r="H21" s="337">
        <v>25</v>
      </c>
      <c r="I21" s="337">
        <v>50</v>
      </c>
      <c r="J21" s="337"/>
      <c r="K21" s="337"/>
      <c r="L21" s="337">
        <v>30</v>
      </c>
      <c r="M21" s="337"/>
      <c r="N21" s="337"/>
      <c r="O21" s="337"/>
      <c r="P21" s="337"/>
      <c r="R21" s="337"/>
      <c r="S21" s="339" t="s">
        <v>209</v>
      </c>
      <c r="T21" s="337">
        <v>3850</v>
      </c>
      <c r="U21" s="351"/>
      <c r="V21" s="351"/>
      <c r="W21" s="351"/>
      <c r="X21" s="351"/>
      <c r="Y21" s="351">
        <v>85</v>
      </c>
      <c r="Z21" s="351">
        <v>105</v>
      </c>
      <c r="AA21" s="351">
        <v>105</v>
      </c>
      <c r="AB21" s="351">
        <v>105</v>
      </c>
      <c r="AC21" s="351">
        <v>105</v>
      </c>
      <c r="AD21" s="351">
        <v>135</v>
      </c>
      <c r="AE21" s="351">
        <v>135</v>
      </c>
      <c r="AF21" s="351">
        <v>135</v>
      </c>
      <c r="AG21" s="337"/>
    </row>
    <row r="22" spans="1:47" ht="18">
      <c r="A22" s="337"/>
      <c r="B22" s="339" t="s">
        <v>210</v>
      </c>
      <c r="C22" s="337">
        <v>2630</v>
      </c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R22" s="337"/>
      <c r="S22" s="339" t="s">
        <v>210</v>
      </c>
      <c r="T22" s="337">
        <v>2630</v>
      </c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351"/>
      <c r="AF22" s="351"/>
      <c r="AG22" s="337"/>
    </row>
    <row r="23" spans="1:47" ht="18">
      <c r="A23" s="337"/>
      <c r="B23" s="339" t="s">
        <v>211</v>
      </c>
      <c r="C23" s="337">
        <v>4200</v>
      </c>
      <c r="D23" s="337">
        <v>1</v>
      </c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R23" s="337"/>
      <c r="S23" s="339" t="s">
        <v>211</v>
      </c>
      <c r="T23" s="337">
        <v>4200</v>
      </c>
      <c r="U23" s="351">
        <v>1</v>
      </c>
      <c r="V23" s="351">
        <v>1</v>
      </c>
      <c r="W23" s="351">
        <v>1</v>
      </c>
      <c r="X23" s="351">
        <v>1</v>
      </c>
      <c r="Y23" s="351">
        <v>1</v>
      </c>
      <c r="Z23" s="351">
        <v>1</v>
      </c>
      <c r="AA23" s="351">
        <v>1</v>
      </c>
      <c r="AB23" s="351">
        <v>1</v>
      </c>
      <c r="AC23" s="351">
        <v>1</v>
      </c>
      <c r="AD23" s="351">
        <v>1</v>
      </c>
      <c r="AE23" s="351">
        <v>1</v>
      </c>
      <c r="AF23" s="351">
        <v>1</v>
      </c>
      <c r="AG23" s="337"/>
    </row>
    <row r="25" spans="1:47" ht="18">
      <c r="S25" s="332" t="s">
        <v>200</v>
      </c>
    </row>
    <row r="26" spans="1:47" ht="18">
      <c r="A26" s="340" t="s">
        <v>213</v>
      </c>
      <c r="B26" s="340"/>
      <c r="C26" s="340"/>
      <c r="D26" s="341" t="s">
        <v>202</v>
      </c>
      <c r="E26" s="341" t="s">
        <v>159</v>
      </c>
      <c r="F26" s="341" t="s">
        <v>129</v>
      </c>
      <c r="G26" s="341" t="s">
        <v>130</v>
      </c>
      <c r="H26" s="341" t="s">
        <v>131</v>
      </c>
      <c r="I26" s="341" t="s">
        <v>132</v>
      </c>
      <c r="J26" s="341" t="s">
        <v>133</v>
      </c>
      <c r="K26" s="341" t="s">
        <v>134</v>
      </c>
      <c r="L26" s="341" t="s">
        <v>135</v>
      </c>
      <c r="M26" s="341" t="s">
        <v>136</v>
      </c>
      <c r="N26" s="341" t="s">
        <v>137</v>
      </c>
      <c r="O26" s="341" t="s">
        <v>138</v>
      </c>
      <c r="P26" s="340"/>
      <c r="R26" s="340" t="s">
        <v>213</v>
      </c>
      <c r="S26" s="340"/>
      <c r="T26" s="340"/>
      <c r="U26" s="352" t="s">
        <v>202</v>
      </c>
      <c r="V26" s="352" t="s">
        <v>159</v>
      </c>
      <c r="W26" s="352" t="s">
        <v>129</v>
      </c>
      <c r="X26" s="352" t="s">
        <v>130</v>
      </c>
      <c r="Y26" s="352" t="s">
        <v>131</v>
      </c>
      <c r="Z26" s="352" t="s">
        <v>132</v>
      </c>
      <c r="AA26" s="352" t="s">
        <v>133</v>
      </c>
      <c r="AB26" s="352" t="s">
        <v>134</v>
      </c>
      <c r="AC26" s="352" t="s">
        <v>135</v>
      </c>
      <c r="AD26" s="352" t="s">
        <v>136</v>
      </c>
      <c r="AE26" s="352" t="s">
        <v>137</v>
      </c>
      <c r="AF26" s="352" t="s">
        <v>138</v>
      </c>
      <c r="AG26" s="340"/>
      <c r="AJ26" s="332" t="s">
        <v>127</v>
      </c>
      <c r="AK26" s="332" t="s">
        <v>159</v>
      </c>
      <c r="AL26" s="332" t="s">
        <v>129</v>
      </c>
      <c r="AM26" s="332" t="s">
        <v>130</v>
      </c>
      <c r="AN26" s="332" t="s">
        <v>131</v>
      </c>
      <c r="AO26" s="332" t="s">
        <v>132</v>
      </c>
      <c r="AP26" s="332" t="s">
        <v>133</v>
      </c>
      <c r="AQ26" s="332" t="s">
        <v>134</v>
      </c>
      <c r="AR26" s="332" t="s">
        <v>135</v>
      </c>
      <c r="AS26" s="332" t="s">
        <v>136</v>
      </c>
      <c r="AT26" s="332" t="s">
        <v>137</v>
      </c>
      <c r="AU26" s="332" t="s">
        <v>138</v>
      </c>
    </row>
    <row r="27" spans="1:47" ht="18">
      <c r="A27" s="340"/>
      <c r="B27" s="342" t="s">
        <v>203</v>
      </c>
      <c r="C27" s="340">
        <v>3690</v>
      </c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R27" s="340"/>
      <c r="S27" s="342" t="s">
        <v>203</v>
      </c>
      <c r="T27" s="340">
        <v>3690</v>
      </c>
      <c r="U27" s="353"/>
      <c r="V27" s="353"/>
      <c r="W27" s="353"/>
      <c r="X27" s="353"/>
      <c r="Y27" s="353"/>
      <c r="Z27" s="353"/>
      <c r="AA27" s="353"/>
      <c r="AB27" s="353"/>
      <c r="AC27" s="353"/>
      <c r="AD27" s="353"/>
      <c r="AE27" s="353"/>
      <c r="AF27" s="353"/>
      <c r="AG27" s="340"/>
    </row>
    <row r="28" spans="1:47" ht="18">
      <c r="A28" s="340"/>
      <c r="B28" s="342" t="s">
        <v>204</v>
      </c>
      <c r="C28" s="340">
        <v>4130</v>
      </c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R28" s="340"/>
      <c r="S28" s="342" t="s">
        <v>204</v>
      </c>
      <c r="T28" s="340">
        <v>4130</v>
      </c>
      <c r="U28" s="353"/>
      <c r="V28" s="353"/>
      <c r="W28" s="353"/>
      <c r="X28" s="353"/>
      <c r="Y28" s="353"/>
      <c r="Z28" s="353"/>
      <c r="AA28" s="353"/>
      <c r="AB28" s="353"/>
      <c r="AC28" s="353"/>
      <c r="AD28" s="353"/>
      <c r="AE28" s="353"/>
      <c r="AF28" s="353"/>
      <c r="AG28" s="340"/>
    </row>
    <row r="29" spans="1:47" ht="18">
      <c r="A29" s="340"/>
      <c r="B29" s="342" t="s">
        <v>205</v>
      </c>
      <c r="C29" s="340">
        <v>6750</v>
      </c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R29" s="340"/>
      <c r="S29" s="342" t="s">
        <v>205</v>
      </c>
      <c r="T29" s="340">
        <v>6750</v>
      </c>
      <c r="U29" s="353"/>
      <c r="V29" s="353"/>
      <c r="W29" s="353"/>
      <c r="X29" s="353"/>
      <c r="Y29" s="353"/>
      <c r="Z29" s="353"/>
      <c r="AA29" s="353"/>
      <c r="AB29" s="353"/>
      <c r="AC29" s="353"/>
      <c r="AD29" s="353"/>
      <c r="AE29" s="353"/>
      <c r="AF29" s="353"/>
      <c r="AG29" s="340"/>
    </row>
    <row r="30" spans="1:47" ht="18">
      <c r="A30" s="340"/>
      <c r="B30" s="342" t="s">
        <v>206</v>
      </c>
      <c r="C30" s="340">
        <v>4200</v>
      </c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R30" s="340"/>
      <c r="S30" s="342" t="s">
        <v>206</v>
      </c>
      <c r="T30" s="340">
        <v>4200</v>
      </c>
      <c r="U30" s="353"/>
      <c r="V30" s="353"/>
      <c r="W30" s="353"/>
      <c r="X30" s="353"/>
      <c r="Y30" s="353"/>
      <c r="Z30" s="353"/>
      <c r="AA30" s="353"/>
      <c r="AB30" s="353"/>
      <c r="AC30" s="353"/>
      <c r="AD30" s="353"/>
      <c r="AE30" s="353"/>
      <c r="AF30" s="353"/>
      <c r="AG30" s="340"/>
    </row>
    <row r="31" spans="1:47" ht="18">
      <c r="A31" s="340"/>
      <c r="B31" s="342" t="s">
        <v>207</v>
      </c>
      <c r="C31" s="340">
        <v>4010</v>
      </c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R31" s="340"/>
      <c r="S31" s="342" t="s">
        <v>207</v>
      </c>
      <c r="T31" s="340">
        <v>4010</v>
      </c>
      <c r="U31" s="353"/>
      <c r="V31" s="353"/>
      <c r="W31" s="353"/>
      <c r="X31" s="353"/>
      <c r="Y31" s="353"/>
      <c r="Z31" s="353"/>
      <c r="AA31" s="353"/>
      <c r="AB31" s="353"/>
      <c r="AC31" s="353"/>
      <c r="AD31" s="353"/>
      <c r="AE31" s="353"/>
      <c r="AF31" s="353"/>
      <c r="AG31" s="340"/>
    </row>
    <row r="32" spans="1:47" ht="18">
      <c r="A32" s="340"/>
      <c r="B32" s="342" t="s">
        <v>208</v>
      </c>
      <c r="C32" s="340">
        <v>3800</v>
      </c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R32" s="340"/>
      <c r="S32" s="342" t="s">
        <v>208</v>
      </c>
      <c r="T32" s="340">
        <v>3800</v>
      </c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53"/>
      <c r="AF32" s="353"/>
      <c r="AG32" s="340"/>
    </row>
    <row r="33" spans="1:49" ht="18">
      <c r="A33" s="340"/>
      <c r="B33" s="342" t="s">
        <v>209</v>
      </c>
      <c r="C33" s="340">
        <v>3850</v>
      </c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R33" s="340"/>
      <c r="S33" s="342" t="s">
        <v>209</v>
      </c>
      <c r="T33" s="340">
        <v>3850</v>
      </c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40"/>
    </row>
    <row r="34" spans="1:49" ht="18">
      <c r="A34" s="340"/>
      <c r="B34" s="342" t="s">
        <v>210</v>
      </c>
      <c r="C34" s="340">
        <v>2630</v>
      </c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R34" s="340"/>
      <c r="S34" s="342" t="s">
        <v>210</v>
      </c>
      <c r="T34" s="340">
        <v>2630</v>
      </c>
      <c r="U34" s="353"/>
      <c r="V34" s="353"/>
      <c r="W34" s="353"/>
      <c r="X34" s="353"/>
      <c r="Y34" s="353"/>
      <c r="Z34" s="353"/>
      <c r="AA34" s="353"/>
      <c r="AB34" s="353"/>
      <c r="AC34" s="353"/>
      <c r="AD34" s="353"/>
      <c r="AE34" s="353"/>
      <c r="AF34" s="353"/>
      <c r="AG34" s="340"/>
    </row>
    <row r="35" spans="1:49" ht="18">
      <c r="A35" s="340"/>
      <c r="B35" s="342" t="s">
        <v>211</v>
      </c>
      <c r="C35" s="340">
        <v>4200</v>
      </c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R35" s="340"/>
      <c r="S35" s="342" t="s">
        <v>211</v>
      </c>
      <c r="T35" s="340">
        <v>4200</v>
      </c>
      <c r="U35" s="353"/>
      <c r="V35" s="353"/>
      <c r="W35" s="353"/>
      <c r="X35" s="353"/>
      <c r="Y35" s="353"/>
      <c r="Z35" s="353"/>
      <c r="AA35" s="353"/>
      <c r="AB35" s="353"/>
      <c r="AC35" s="353"/>
      <c r="AD35" s="353"/>
      <c r="AE35" s="353"/>
      <c r="AF35" s="353"/>
      <c r="AG35" s="340"/>
    </row>
    <row r="36" spans="1:49" ht="18">
      <c r="A36" s="340"/>
      <c r="B36" s="332" t="s">
        <v>214</v>
      </c>
      <c r="C36" s="332">
        <v>3800</v>
      </c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R36" s="340" t="s">
        <v>215</v>
      </c>
      <c r="S36" s="340" t="s">
        <v>214</v>
      </c>
      <c r="T36" s="340">
        <v>3800</v>
      </c>
      <c r="U36" s="353"/>
      <c r="V36" s="353"/>
      <c r="W36" s="353"/>
      <c r="X36" s="353">
        <v>24</v>
      </c>
      <c r="Y36" s="353">
        <v>24</v>
      </c>
      <c r="Z36" s="353">
        <v>24</v>
      </c>
      <c r="AA36" s="353">
        <v>24</v>
      </c>
      <c r="AB36" s="353">
        <v>24</v>
      </c>
      <c r="AC36" s="353">
        <v>24</v>
      </c>
      <c r="AD36" s="353">
        <v>24</v>
      </c>
      <c r="AE36" s="353">
        <v>24</v>
      </c>
      <c r="AF36" s="353">
        <v>24</v>
      </c>
      <c r="AG36" s="340"/>
    </row>
    <row r="37" spans="1:49" ht="18">
      <c r="A37" s="340"/>
      <c r="B37" s="332" t="s">
        <v>216</v>
      </c>
      <c r="C37" s="332">
        <v>3200</v>
      </c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R37" s="340"/>
      <c r="S37" s="340" t="s">
        <v>216</v>
      </c>
      <c r="T37" s="340">
        <v>3200</v>
      </c>
      <c r="U37" s="353"/>
      <c r="V37" s="353"/>
      <c r="W37" s="353"/>
      <c r="X37" s="353">
        <v>6</v>
      </c>
      <c r="Y37" s="353">
        <v>6</v>
      </c>
      <c r="Z37" s="353">
        <v>6</v>
      </c>
      <c r="AA37" s="353">
        <v>6</v>
      </c>
      <c r="AB37" s="353">
        <v>6</v>
      </c>
      <c r="AC37" s="353">
        <v>6</v>
      </c>
      <c r="AD37" s="353">
        <v>6</v>
      </c>
      <c r="AE37" s="353">
        <v>6</v>
      </c>
      <c r="AF37" s="353">
        <v>6</v>
      </c>
      <c r="AG37" s="340"/>
    </row>
    <row r="38" spans="1:49" ht="18">
      <c r="A38" s="340"/>
      <c r="B38" s="332" t="s">
        <v>217</v>
      </c>
      <c r="C38" s="332">
        <v>5000</v>
      </c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R38" s="340"/>
      <c r="S38" s="340" t="s">
        <v>217</v>
      </c>
      <c r="T38" s="340">
        <v>10000</v>
      </c>
      <c r="U38" s="353">
        <v>20</v>
      </c>
      <c r="V38" s="353">
        <v>20</v>
      </c>
      <c r="W38" s="353">
        <v>20</v>
      </c>
      <c r="X38" s="353">
        <v>20</v>
      </c>
      <c r="Y38" s="353">
        <v>20</v>
      </c>
      <c r="Z38" s="353">
        <v>20</v>
      </c>
      <c r="AA38" s="353">
        <v>20</v>
      </c>
      <c r="AB38" s="353">
        <v>20</v>
      </c>
      <c r="AC38" s="353">
        <v>20</v>
      </c>
      <c r="AD38" s="353">
        <v>20</v>
      </c>
      <c r="AE38" s="353">
        <v>20</v>
      </c>
      <c r="AF38" s="353">
        <v>20</v>
      </c>
      <c r="AG38" s="340"/>
      <c r="AH38" s="396"/>
      <c r="AI38" s="396"/>
    </row>
    <row r="39" spans="1:49" ht="18">
      <c r="A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R39" s="340" t="s">
        <v>218</v>
      </c>
      <c r="S39" s="340" t="s">
        <v>214</v>
      </c>
      <c r="T39" s="340">
        <v>3800</v>
      </c>
      <c r="U39" s="353"/>
      <c r="V39" s="353">
        <v>70</v>
      </c>
      <c r="W39" s="353">
        <v>70</v>
      </c>
      <c r="X39" s="353">
        <v>70</v>
      </c>
      <c r="Y39" s="353">
        <v>70</v>
      </c>
      <c r="Z39" s="353">
        <v>80</v>
      </c>
      <c r="AA39" s="353">
        <v>80</v>
      </c>
      <c r="AB39" s="353">
        <v>80</v>
      </c>
      <c r="AC39" s="353">
        <v>80</v>
      </c>
      <c r="AD39" s="353">
        <v>80</v>
      </c>
      <c r="AE39" s="353">
        <v>80</v>
      </c>
      <c r="AF39" s="353">
        <v>80</v>
      </c>
      <c r="AG39" s="340"/>
      <c r="AJ39" s="332">
        <v>0</v>
      </c>
      <c r="AK39" s="332">
        <v>0</v>
      </c>
      <c r="AL39" s="332">
        <v>0</v>
      </c>
      <c r="AM39" s="332">
        <v>70</v>
      </c>
      <c r="AN39" s="332">
        <v>70</v>
      </c>
      <c r="AO39" s="332">
        <v>70</v>
      </c>
      <c r="AP39" s="332">
        <v>70</v>
      </c>
      <c r="AQ39" s="332">
        <v>70</v>
      </c>
      <c r="AR39" s="332">
        <v>70</v>
      </c>
      <c r="AS39" s="332">
        <v>70</v>
      </c>
      <c r="AT39" s="332">
        <v>70</v>
      </c>
      <c r="AU39" s="332">
        <v>70</v>
      </c>
    </row>
    <row r="40" spans="1:49" ht="18">
      <c r="A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R40" s="340"/>
      <c r="S40" s="340" t="s">
        <v>216</v>
      </c>
      <c r="T40" s="340">
        <v>3200</v>
      </c>
      <c r="U40" s="353"/>
      <c r="V40" s="353">
        <v>10</v>
      </c>
      <c r="W40" s="353">
        <v>10</v>
      </c>
      <c r="X40" s="353">
        <v>10</v>
      </c>
      <c r="Y40" s="353">
        <v>10</v>
      </c>
      <c r="Z40" s="353">
        <v>20</v>
      </c>
      <c r="AA40" s="353">
        <v>20</v>
      </c>
      <c r="AB40" s="353">
        <v>20</v>
      </c>
      <c r="AC40" s="353">
        <v>20</v>
      </c>
      <c r="AD40" s="353">
        <v>20</v>
      </c>
      <c r="AE40" s="353">
        <v>20</v>
      </c>
      <c r="AF40" s="353">
        <v>20</v>
      </c>
      <c r="AG40" s="340"/>
      <c r="AH40" s="332" t="s">
        <v>140</v>
      </c>
      <c r="AI40" s="332">
        <v>3800</v>
      </c>
      <c r="AJ40" s="396">
        <f>U$39*$T$39</f>
        <v>0</v>
      </c>
      <c r="AK40" s="396">
        <f t="shared" ref="AK40:AU40" si="0">V$39*$T$39</f>
        <v>266000</v>
      </c>
      <c r="AL40" s="396">
        <f t="shared" si="0"/>
        <v>266000</v>
      </c>
      <c r="AM40" s="396">
        <f t="shared" si="0"/>
        <v>266000</v>
      </c>
      <c r="AN40" s="396">
        <f t="shared" si="0"/>
        <v>266000</v>
      </c>
      <c r="AO40" s="396">
        <f t="shared" si="0"/>
        <v>304000</v>
      </c>
      <c r="AP40" s="396">
        <f t="shared" si="0"/>
        <v>304000</v>
      </c>
      <c r="AQ40" s="396">
        <f t="shared" si="0"/>
        <v>304000</v>
      </c>
      <c r="AR40" s="396">
        <f t="shared" si="0"/>
        <v>304000</v>
      </c>
      <c r="AS40" s="396">
        <f t="shared" si="0"/>
        <v>304000</v>
      </c>
      <c r="AT40" s="396">
        <f t="shared" si="0"/>
        <v>304000</v>
      </c>
      <c r="AU40" s="396">
        <f t="shared" si="0"/>
        <v>304000</v>
      </c>
      <c r="AV40" s="398">
        <f>SUM(AJ40:AU40)</f>
        <v>3192000</v>
      </c>
      <c r="AW40" s="332" t="s">
        <v>164</v>
      </c>
    </row>
    <row r="41" spans="1:49" ht="18">
      <c r="A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R41" s="340"/>
      <c r="S41" s="340"/>
      <c r="T41" s="340"/>
      <c r="U41" s="353"/>
      <c r="V41" s="353"/>
      <c r="W41" s="353"/>
      <c r="X41" s="353"/>
      <c r="Y41" s="353"/>
      <c r="Z41" s="353"/>
      <c r="AA41" s="353"/>
      <c r="AB41" s="353"/>
      <c r="AC41" s="353"/>
      <c r="AD41" s="353"/>
      <c r="AE41" s="353"/>
      <c r="AF41" s="353"/>
      <c r="AG41" s="340"/>
      <c r="AH41" s="332" t="s">
        <v>219</v>
      </c>
      <c r="AI41" s="332">
        <v>4000</v>
      </c>
      <c r="AJ41" s="396">
        <f>$AI$41*AJ$39</f>
        <v>0</v>
      </c>
      <c r="AK41" s="396">
        <f t="shared" ref="AK41:AU41" si="1">$AI$41*AK$39</f>
        <v>0</v>
      </c>
      <c r="AL41" s="396">
        <f t="shared" si="1"/>
        <v>0</v>
      </c>
      <c r="AM41" s="396">
        <f t="shared" si="1"/>
        <v>280000</v>
      </c>
      <c r="AN41" s="396">
        <f t="shared" si="1"/>
        <v>280000</v>
      </c>
      <c r="AO41" s="396">
        <f t="shared" si="1"/>
        <v>280000</v>
      </c>
      <c r="AP41" s="396">
        <f t="shared" si="1"/>
        <v>280000</v>
      </c>
      <c r="AQ41" s="396">
        <f t="shared" si="1"/>
        <v>280000</v>
      </c>
      <c r="AR41" s="396">
        <f t="shared" si="1"/>
        <v>280000</v>
      </c>
      <c r="AS41" s="396">
        <f t="shared" si="1"/>
        <v>280000</v>
      </c>
      <c r="AT41" s="396">
        <f t="shared" si="1"/>
        <v>280000</v>
      </c>
      <c r="AU41" s="396">
        <f t="shared" si="1"/>
        <v>280000</v>
      </c>
      <c r="AV41" s="398">
        <f>SUM(AJ41:AU41)</f>
        <v>2520000</v>
      </c>
      <c r="AW41" s="397">
        <f>AV41-AV40</f>
        <v>-672000</v>
      </c>
    </row>
    <row r="42" spans="1:49" ht="18">
      <c r="A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R42" s="340"/>
      <c r="S42" s="340"/>
      <c r="T42" s="340"/>
      <c r="U42" s="353"/>
      <c r="V42" s="353"/>
      <c r="W42" s="353"/>
      <c r="X42" s="353"/>
      <c r="Y42" s="353"/>
      <c r="Z42" s="353"/>
      <c r="AA42" s="353"/>
      <c r="AB42" s="353"/>
      <c r="AC42" s="353"/>
      <c r="AD42" s="353"/>
      <c r="AE42" s="353"/>
      <c r="AF42" s="353"/>
      <c r="AG42" s="340"/>
    </row>
    <row r="43" spans="1:49" ht="18">
      <c r="A43" s="366"/>
      <c r="B43" s="367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R43" s="366"/>
      <c r="S43" s="367"/>
      <c r="T43" s="366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6"/>
    </row>
    <row r="45" spans="1:49" ht="18">
      <c r="R45" s="332" t="s">
        <v>220</v>
      </c>
      <c r="S45" s="332" t="s">
        <v>221</v>
      </c>
    </row>
    <row r="46" spans="1:49" ht="18">
      <c r="A46" s="343" t="s">
        <v>222</v>
      </c>
      <c r="B46" s="343"/>
      <c r="C46" s="343"/>
      <c r="D46" s="344" t="s">
        <v>202</v>
      </c>
      <c r="E46" s="344" t="s">
        <v>159</v>
      </c>
      <c r="F46" s="344" t="s">
        <v>129</v>
      </c>
      <c r="G46" s="344" t="s">
        <v>130</v>
      </c>
      <c r="H46" s="344" t="s">
        <v>131</v>
      </c>
      <c r="I46" s="344" t="s">
        <v>132</v>
      </c>
      <c r="J46" s="344" t="s">
        <v>133</v>
      </c>
      <c r="K46" s="344" t="s">
        <v>134</v>
      </c>
      <c r="L46" s="344" t="s">
        <v>135</v>
      </c>
      <c r="M46" s="344" t="s">
        <v>136</v>
      </c>
      <c r="N46" s="344" t="s">
        <v>137</v>
      </c>
      <c r="O46" s="344" t="s">
        <v>138</v>
      </c>
      <c r="P46" s="344" t="s">
        <v>122</v>
      </c>
      <c r="R46" s="343" t="s">
        <v>222</v>
      </c>
      <c r="S46" s="343"/>
      <c r="T46" s="343"/>
      <c r="U46" s="354" t="s">
        <v>202</v>
      </c>
      <c r="V46" s="354" t="s">
        <v>159</v>
      </c>
      <c r="W46" s="354" t="s">
        <v>129</v>
      </c>
      <c r="X46" s="354" t="s">
        <v>130</v>
      </c>
      <c r="Y46" s="354" t="s">
        <v>131</v>
      </c>
      <c r="Z46" s="354" t="s">
        <v>132</v>
      </c>
      <c r="AA46" s="354" t="s">
        <v>133</v>
      </c>
      <c r="AB46" s="354" t="s">
        <v>134</v>
      </c>
      <c r="AC46" s="354" t="s">
        <v>135</v>
      </c>
      <c r="AD46" s="354" t="s">
        <v>136</v>
      </c>
      <c r="AE46" s="354" t="s">
        <v>137</v>
      </c>
      <c r="AF46" s="354" t="s">
        <v>138</v>
      </c>
      <c r="AG46" s="344" t="s">
        <v>122</v>
      </c>
    </row>
    <row r="47" spans="1:49" ht="18">
      <c r="A47" s="343"/>
      <c r="B47" s="345" t="s">
        <v>203</v>
      </c>
      <c r="C47" s="343">
        <v>3690</v>
      </c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R47" s="343"/>
      <c r="S47" s="345" t="s">
        <v>203</v>
      </c>
      <c r="T47" s="343">
        <v>3690</v>
      </c>
      <c r="U47" s="355">
        <f t="shared" ref="U47:AF47" si="2">U3*$T$3</f>
        <v>3690</v>
      </c>
      <c r="V47" s="355">
        <f t="shared" si="2"/>
        <v>3690</v>
      </c>
      <c r="W47" s="355">
        <f t="shared" si="2"/>
        <v>3690</v>
      </c>
      <c r="X47" s="355">
        <f t="shared" si="2"/>
        <v>3690</v>
      </c>
      <c r="Y47" s="355">
        <f t="shared" si="2"/>
        <v>3690</v>
      </c>
      <c r="Z47" s="355">
        <f t="shared" si="2"/>
        <v>3690</v>
      </c>
      <c r="AA47" s="355">
        <f t="shared" si="2"/>
        <v>3690</v>
      </c>
      <c r="AB47" s="355">
        <f t="shared" si="2"/>
        <v>3690</v>
      </c>
      <c r="AC47" s="355">
        <f t="shared" si="2"/>
        <v>3690</v>
      </c>
      <c r="AD47" s="355">
        <f t="shared" si="2"/>
        <v>3690</v>
      </c>
      <c r="AE47" s="355">
        <f t="shared" si="2"/>
        <v>3690</v>
      </c>
      <c r="AF47" s="355">
        <f t="shared" si="2"/>
        <v>3690</v>
      </c>
      <c r="AG47" s="343"/>
    </row>
    <row r="48" spans="1:49" ht="18">
      <c r="A48" s="343"/>
      <c r="B48" s="345" t="s">
        <v>204</v>
      </c>
      <c r="C48" s="343">
        <v>4130</v>
      </c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R48" s="343"/>
      <c r="S48" s="345" t="s">
        <v>204</v>
      </c>
      <c r="T48" s="343">
        <v>4130</v>
      </c>
      <c r="U48" s="355">
        <f t="shared" ref="U48:AF48" si="3">U4*$T$4</f>
        <v>330400</v>
      </c>
      <c r="V48" s="355">
        <f t="shared" si="3"/>
        <v>330400</v>
      </c>
      <c r="W48" s="355">
        <f t="shared" si="3"/>
        <v>330400</v>
      </c>
      <c r="X48" s="355">
        <f t="shared" si="3"/>
        <v>330400</v>
      </c>
      <c r="Y48" s="355">
        <f t="shared" si="3"/>
        <v>330400</v>
      </c>
      <c r="Z48" s="355">
        <f t="shared" si="3"/>
        <v>330400</v>
      </c>
      <c r="AA48" s="355">
        <f t="shared" si="3"/>
        <v>330400</v>
      </c>
      <c r="AB48" s="355">
        <f t="shared" si="3"/>
        <v>330400</v>
      </c>
      <c r="AC48" s="355">
        <f t="shared" si="3"/>
        <v>330400</v>
      </c>
      <c r="AD48" s="355">
        <f t="shared" si="3"/>
        <v>330400</v>
      </c>
      <c r="AE48" s="355">
        <f t="shared" si="3"/>
        <v>330400</v>
      </c>
      <c r="AF48" s="355">
        <f t="shared" si="3"/>
        <v>330400</v>
      </c>
      <c r="AG48" s="343"/>
    </row>
    <row r="49" spans="1:33" ht="18">
      <c r="A49" s="343"/>
      <c r="B49" s="345" t="s">
        <v>205</v>
      </c>
      <c r="C49" s="343">
        <v>6750</v>
      </c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R49" s="343"/>
      <c r="S49" s="345" t="s">
        <v>205</v>
      </c>
      <c r="T49" s="343">
        <v>6750</v>
      </c>
      <c r="U49" s="355">
        <f t="shared" ref="U49:AF49" si="4">U5*$T$5</f>
        <v>13500</v>
      </c>
      <c r="V49" s="355">
        <f t="shared" si="4"/>
        <v>13500</v>
      </c>
      <c r="W49" s="355">
        <f t="shared" si="4"/>
        <v>13500</v>
      </c>
      <c r="X49" s="355">
        <f t="shared" si="4"/>
        <v>13500</v>
      </c>
      <c r="Y49" s="355">
        <f t="shared" si="4"/>
        <v>13500</v>
      </c>
      <c r="Z49" s="355">
        <f t="shared" si="4"/>
        <v>13500</v>
      </c>
      <c r="AA49" s="355">
        <f t="shared" si="4"/>
        <v>13500</v>
      </c>
      <c r="AB49" s="355">
        <f t="shared" si="4"/>
        <v>13500</v>
      </c>
      <c r="AC49" s="355">
        <f t="shared" si="4"/>
        <v>13500</v>
      </c>
      <c r="AD49" s="355">
        <f t="shared" si="4"/>
        <v>13500</v>
      </c>
      <c r="AE49" s="355">
        <f t="shared" si="4"/>
        <v>13500</v>
      </c>
      <c r="AF49" s="355">
        <f t="shared" si="4"/>
        <v>13500</v>
      </c>
      <c r="AG49" s="343"/>
    </row>
    <row r="50" spans="1:33" ht="18">
      <c r="A50" s="343"/>
      <c r="B50" s="345" t="s">
        <v>206</v>
      </c>
      <c r="C50" s="343">
        <v>4200</v>
      </c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R50" s="343"/>
      <c r="S50" s="345" t="s">
        <v>206</v>
      </c>
      <c r="T50" s="343">
        <v>4200</v>
      </c>
      <c r="U50" s="355">
        <f t="shared" ref="U50:AF50" si="5">U6*$T$6</f>
        <v>75600</v>
      </c>
      <c r="V50" s="355">
        <f t="shared" si="5"/>
        <v>75600</v>
      </c>
      <c r="W50" s="355">
        <f t="shared" si="5"/>
        <v>75600</v>
      </c>
      <c r="X50" s="355">
        <f t="shared" si="5"/>
        <v>75600</v>
      </c>
      <c r="Y50" s="355">
        <f t="shared" si="5"/>
        <v>75600</v>
      </c>
      <c r="Z50" s="355">
        <f t="shared" si="5"/>
        <v>75600</v>
      </c>
      <c r="AA50" s="355">
        <f t="shared" si="5"/>
        <v>75600</v>
      </c>
      <c r="AB50" s="355">
        <f t="shared" si="5"/>
        <v>75600</v>
      </c>
      <c r="AC50" s="355">
        <f t="shared" si="5"/>
        <v>75600</v>
      </c>
      <c r="AD50" s="355">
        <f t="shared" si="5"/>
        <v>75600</v>
      </c>
      <c r="AE50" s="355">
        <f t="shared" si="5"/>
        <v>75600</v>
      </c>
      <c r="AF50" s="355">
        <f t="shared" si="5"/>
        <v>75600</v>
      </c>
      <c r="AG50" s="343"/>
    </row>
    <row r="51" spans="1:33" ht="18">
      <c r="A51" s="343"/>
      <c r="B51" s="345" t="s">
        <v>207</v>
      </c>
      <c r="C51" s="343">
        <v>4010</v>
      </c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R51" s="343"/>
      <c r="S51" s="345" t="s">
        <v>207</v>
      </c>
      <c r="T51" s="343">
        <v>4010</v>
      </c>
      <c r="U51" s="355">
        <f t="shared" ref="U51:AF51" si="6">U7*$T$7</f>
        <v>280700</v>
      </c>
      <c r="V51" s="355">
        <f t="shared" si="6"/>
        <v>280700</v>
      </c>
      <c r="W51" s="355">
        <f t="shared" si="6"/>
        <v>280700</v>
      </c>
      <c r="X51" s="355">
        <f t="shared" si="6"/>
        <v>280700</v>
      </c>
      <c r="Y51" s="355">
        <f t="shared" si="6"/>
        <v>280700</v>
      </c>
      <c r="Z51" s="355">
        <f t="shared" si="6"/>
        <v>280700</v>
      </c>
      <c r="AA51" s="355">
        <f t="shared" si="6"/>
        <v>280700</v>
      </c>
      <c r="AB51" s="355">
        <f t="shared" si="6"/>
        <v>280700</v>
      </c>
      <c r="AC51" s="355">
        <f t="shared" si="6"/>
        <v>280700</v>
      </c>
      <c r="AD51" s="355">
        <f t="shared" si="6"/>
        <v>280700</v>
      </c>
      <c r="AE51" s="355">
        <f t="shared" si="6"/>
        <v>280700</v>
      </c>
      <c r="AF51" s="355">
        <f t="shared" si="6"/>
        <v>280700</v>
      </c>
      <c r="AG51" s="343"/>
    </row>
    <row r="52" spans="1:33" ht="18">
      <c r="A52" s="343"/>
      <c r="B52" s="345" t="s">
        <v>208</v>
      </c>
      <c r="C52" s="343">
        <v>3800</v>
      </c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R52" s="343"/>
      <c r="S52" s="345" t="s">
        <v>208</v>
      </c>
      <c r="T52" s="343">
        <v>3800</v>
      </c>
      <c r="U52" s="355">
        <f t="shared" ref="U52:AF52" si="7">U8*$T$8</f>
        <v>513000</v>
      </c>
      <c r="V52" s="355">
        <f t="shared" si="7"/>
        <v>513000</v>
      </c>
      <c r="W52" s="355">
        <f t="shared" si="7"/>
        <v>513000</v>
      </c>
      <c r="X52" s="355">
        <f t="shared" si="7"/>
        <v>513000</v>
      </c>
      <c r="Y52" s="355">
        <f t="shared" si="7"/>
        <v>513000</v>
      </c>
      <c r="Z52" s="355">
        <f t="shared" si="7"/>
        <v>513000</v>
      </c>
      <c r="AA52" s="355">
        <f t="shared" si="7"/>
        <v>513000</v>
      </c>
      <c r="AB52" s="355">
        <f t="shared" si="7"/>
        <v>513000</v>
      </c>
      <c r="AC52" s="355">
        <f t="shared" si="7"/>
        <v>513000</v>
      </c>
      <c r="AD52" s="355">
        <f t="shared" si="7"/>
        <v>513000</v>
      </c>
      <c r="AE52" s="355">
        <f t="shared" si="7"/>
        <v>513000</v>
      </c>
      <c r="AF52" s="355">
        <f t="shared" si="7"/>
        <v>513000</v>
      </c>
      <c r="AG52" s="343"/>
    </row>
    <row r="53" spans="1:33" ht="18">
      <c r="A53" s="343"/>
      <c r="B53" s="345" t="s">
        <v>209</v>
      </c>
      <c r="C53" s="343">
        <v>3850</v>
      </c>
      <c r="D53" s="343"/>
      <c r="E53" s="343"/>
      <c r="F53" s="343"/>
      <c r="G53" s="343"/>
      <c r="H53" s="343"/>
      <c r="I53" s="343"/>
      <c r="J53" s="343"/>
      <c r="K53" s="343"/>
      <c r="L53" s="343"/>
      <c r="M53" s="343"/>
      <c r="N53" s="343"/>
      <c r="O53" s="343"/>
      <c r="P53" s="343"/>
      <c r="R53" s="343"/>
      <c r="S53" s="345" t="s">
        <v>209</v>
      </c>
      <c r="T53" s="343">
        <v>3850</v>
      </c>
      <c r="U53" s="355">
        <f t="shared" ref="U53:AF53" si="8">U9*$T$9</f>
        <v>731500</v>
      </c>
      <c r="V53" s="355">
        <f t="shared" si="8"/>
        <v>731500</v>
      </c>
      <c r="W53" s="355">
        <f t="shared" si="8"/>
        <v>731500</v>
      </c>
      <c r="X53" s="355">
        <f t="shared" si="8"/>
        <v>731500</v>
      </c>
      <c r="Y53" s="355">
        <f t="shared" si="8"/>
        <v>731500</v>
      </c>
      <c r="Z53" s="355">
        <f t="shared" si="8"/>
        <v>731500</v>
      </c>
      <c r="AA53" s="355">
        <f t="shared" si="8"/>
        <v>731500</v>
      </c>
      <c r="AB53" s="355">
        <f t="shared" si="8"/>
        <v>731500</v>
      </c>
      <c r="AC53" s="355">
        <f t="shared" si="8"/>
        <v>731500</v>
      </c>
      <c r="AD53" s="355">
        <f t="shared" si="8"/>
        <v>731500</v>
      </c>
      <c r="AE53" s="355">
        <f t="shared" si="8"/>
        <v>731500</v>
      </c>
      <c r="AF53" s="355">
        <f t="shared" si="8"/>
        <v>731500</v>
      </c>
      <c r="AG53" s="343"/>
    </row>
    <row r="54" spans="1:33" ht="18">
      <c r="A54" s="343"/>
      <c r="B54" s="345" t="s">
        <v>210</v>
      </c>
      <c r="C54" s="343">
        <v>2630</v>
      </c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3"/>
      <c r="P54" s="343"/>
      <c r="R54" s="343"/>
      <c r="S54" s="345" t="s">
        <v>210</v>
      </c>
      <c r="T54" s="343">
        <v>2630</v>
      </c>
      <c r="U54" s="355">
        <f t="shared" ref="U54:AF54" si="9">U10*$T$10</f>
        <v>263000</v>
      </c>
      <c r="V54" s="355">
        <f t="shared" si="9"/>
        <v>263000</v>
      </c>
      <c r="W54" s="355">
        <f t="shared" si="9"/>
        <v>263000</v>
      </c>
      <c r="X54" s="355">
        <f t="shared" si="9"/>
        <v>263000</v>
      </c>
      <c r="Y54" s="355">
        <f t="shared" si="9"/>
        <v>263000</v>
      </c>
      <c r="Z54" s="355">
        <f t="shared" si="9"/>
        <v>263000</v>
      </c>
      <c r="AA54" s="355">
        <f t="shared" si="9"/>
        <v>263000</v>
      </c>
      <c r="AB54" s="355">
        <f t="shared" si="9"/>
        <v>263000</v>
      </c>
      <c r="AC54" s="355">
        <f t="shared" si="9"/>
        <v>263000</v>
      </c>
      <c r="AD54" s="355">
        <f t="shared" si="9"/>
        <v>263000</v>
      </c>
      <c r="AE54" s="355">
        <f t="shared" si="9"/>
        <v>263000</v>
      </c>
      <c r="AF54" s="355">
        <f t="shared" si="9"/>
        <v>263000</v>
      </c>
      <c r="AG54" s="343"/>
    </row>
    <row r="55" spans="1:33" ht="18">
      <c r="A55" s="343"/>
      <c r="B55" s="345" t="s">
        <v>211</v>
      </c>
      <c r="C55" s="343">
        <v>4200</v>
      </c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R55" s="343"/>
      <c r="S55" s="345" t="s">
        <v>211</v>
      </c>
      <c r="T55" s="343">
        <v>4200</v>
      </c>
      <c r="U55" s="355">
        <f t="shared" ref="U55:AF55" si="10">U11*$T$11</f>
        <v>4200</v>
      </c>
      <c r="V55" s="355">
        <f t="shared" si="10"/>
        <v>4200</v>
      </c>
      <c r="W55" s="355">
        <f t="shared" si="10"/>
        <v>4200</v>
      </c>
      <c r="X55" s="355">
        <f t="shared" si="10"/>
        <v>4200</v>
      </c>
      <c r="Y55" s="355">
        <f t="shared" si="10"/>
        <v>4200</v>
      </c>
      <c r="Z55" s="355">
        <f t="shared" si="10"/>
        <v>4200</v>
      </c>
      <c r="AA55" s="355">
        <f t="shared" si="10"/>
        <v>4200</v>
      </c>
      <c r="AB55" s="355">
        <f t="shared" si="10"/>
        <v>4200</v>
      </c>
      <c r="AC55" s="355">
        <f t="shared" si="10"/>
        <v>4200</v>
      </c>
      <c r="AD55" s="355">
        <f t="shared" si="10"/>
        <v>4200</v>
      </c>
      <c r="AE55" s="355">
        <f t="shared" si="10"/>
        <v>4200</v>
      </c>
      <c r="AF55" s="355">
        <f t="shared" si="10"/>
        <v>4200</v>
      </c>
      <c r="AG55" s="355">
        <f>SUM(U47:AF55)</f>
        <v>26587080</v>
      </c>
    </row>
    <row r="56" spans="1:33" ht="18">
      <c r="R56" s="332" t="s">
        <v>223</v>
      </c>
      <c r="S56" s="332" t="s">
        <v>221</v>
      </c>
    </row>
    <row r="57" spans="1:33" ht="18">
      <c r="R57" s="356" t="s">
        <v>222</v>
      </c>
      <c r="S57" s="356"/>
      <c r="T57" s="356"/>
      <c r="U57" s="357" t="s">
        <v>202</v>
      </c>
      <c r="V57" s="357" t="s">
        <v>159</v>
      </c>
      <c r="W57" s="357" t="s">
        <v>129</v>
      </c>
      <c r="X57" s="357" t="s">
        <v>130</v>
      </c>
      <c r="Y57" s="357" t="s">
        <v>131</v>
      </c>
      <c r="Z57" s="357" t="s">
        <v>132</v>
      </c>
      <c r="AA57" s="357" t="s">
        <v>133</v>
      </c>
      <c r="AB57" s="357" t="s">
        <v>134</v>
      </c>
      <c r="AC57" s="357" t="s">
        <v>135</v>
      </c>
      <c r="AD57" s="357" t="s">
        <v>136</v>
      </c>
      <c r="AE57" s="357" t="s">
        <v>137</v>
      </c>
      <c r="AF57" s="357" t="s">
        <v>138</v>
      </c>
      <c r="AG57" s="358" t="s">
        <v>122</v>
      </c>
    </row>
    <row r="58" spans="1:33" ht="18">
      <c r="R58" s="356"/>
      <c r="S58" s="359" t="s">
        <v>203</v>
      </c>
      <c r="T58" s="356">
        <v>3690</v>
      </c>
      <c r="U58" s="360">
        <f t="shared" ref="U58:AF58" si="11">U15*$T$15</f>
        <v>0</v>
      </c>
      <c r="V58" s="360">
        <f t="shared" si="11"/>
        <v>0</v>
      </c>
      <c r="W58" s="360">
        <f t="shared" si="11"/>
        <v>0</v>
      </c>
      <c r="X58" s="360">
        <f t="shared" si="11"/>
        <v>0</v>
      </c>
      <c r="Y58" s="360">
        <f t="shared" si="11"/>
        <v>0</v>
      </c>
      <c r="Z58" s="360">
        <f t="shared" si="11"/>
        <v>0</v>
      </c>
      <c r="AA58" s="360">
        <f t="shared" si="11"/>
        <v>0</v>
      </c>
      <c r="AB58" s="360">
        <f t="shared" si="11"/>
        <v>0</v>
      </c>
      <c r="AC58" s="360">
        <f t="shared" si="11"/>
        <v>0</v>
      </c>
      <c r="AD58" s="360">
        <f t="shared" si="11"/>
        <v>0</v>
      </c>
      <c r="AE58" s="360">
        <f t="shared" si="11"/>
        <v>0</v>
      </c>
      <c r="AF58" s="360">
        <f t="shared" si="11"/>
        <v>0</v>
      </c>
      <c r="AG58" s="356"/>
    </row>
    <row r="59" spans="1:33" ht="18">
      <c r="R59" s="356"/>
      <c r="S59" s="359" t="s">
        <v>204</v>
      </c>
      <c r="T59" s="356">
        <v>4130</v>
      </c>
      <c r="U59" s="360">
        <f t="shared" ref="U59:AF59" si="12">U16*$T$16</f>
        <v>0</v>
      </c>
      <c r="V59" s="360">
        <f t="shared" si="12"/>
        <v>0</v>
      </c>
      <c r="W59" s="360">
        <f t="shared" si="12"/>
        <v>0</v>
      </c>
      <c r="X59" s="360">
        <f t="shared" si="12"/>
        <v>0</v>
      </c>
      <c r="Y59" s="360">
        <f t="shared" si="12"/>
        <v>0</v>
      </c>
      <c r="Z59" s="360">
        <f t="shared" si="12"/>
        <v>0</v>
      </c>
      <c r="AA59" s="360">
        <f t="shared" si="12"/>
        <v>0</v>
      </c>
      <c r="AB59" s="360">
        <f t="shared" si="12"/>
        <v>0</v>
      </c>
      <c r="AC59" s="360">
        <f t="shared" si="12"/>
        <v>0</v>
      </c>
      <c r="AD59" s="360">
        <f t="shared" si="12"/>
        <v>0</v>
      </c>
      <c r="AE59" s="360">
        <f t="shared" si="12"/>
        <v>0</v>
      </c>
      <c r="AF59" s="360">
        <f t="shared" si="12"/>
        <v>0</v>
      </c>
      <c r="AG59" s="356"/>
    </row>
    <row r="60" spans="1:33" ht="18">
      <c r="R60" s="356"/>
      <c r="S60" s="359" t="s">
        <v>205</v>
      </c>
      <c r="T60" s="356">
        <v>6750</v>
      </c>
      <c r="U60" s="360">
        <f t="shared" ref="U60:AF60" si="13">U17*$T$17</f>
        <v>0</v>
      </c>
      <c r="V60" s="360">
        <f t="shared" si="13"/>
        <v>0</v>
      </c>
      <c r="W60" s="360">
        <f t="shared" si="13"/>
        <v>0</v>
      </c>
      <c r="X60" s="360">
        <f t="shared" si="13"/>
        <v>0</v>
      </c>
      <c r="Y60" s="360">
        <f t="shared" si="13"/>
        <v>0</v>
      </c>
      <c r="Z60" s="360">
        <f t="shared" si="13"/>
        <v>0</v>
      </c>
      <c r="AA60" s="360">
        <f t="shared" si="13"/>
        <v>0</v>
      </c>
      <c r="AB60" s="360">
        <f t="shared" si="13"/>
        <v>0</v>
      </c>
      <c r="AC60" s="360">
        <f t="shared" si="13"/>
        <v>0</v>
      </c>
      <c r="AD60" s="360">
        <f t="shared" si="13"/>
        <v>0</v>
      </c>
      <c r="AE60" s="360">
        <f t="shared" si="13"/>
        <v>0</v>
      </c>
      <c r="AF60" s="360">
        <f t="shared" si="13"/>
        <v>0</v>
      </c>
      <c r="AG60" s="356"/>
    </row>
    <row r="61" spans="1:33" ht="18">
      <c r="R61" s="356"/>
      <c r="S61" s="359" t="s">
        <v>206</v>
      </c>
      <c r="T61" s="356">
        <v>4200</v>
      </c>
      <c r="U61" s="360">
        <f t="shared" ref="U61:AF61" si="14">U18*$T$18</f>
        <v>0</v>
      </c>
      <c r="V61" s="360">
        <f t="shared" si="14"/>
        <v>75600</v>
      </c>
      <c r="W61" s="360">
        <f t="shared" si="14"/>
        <v>75600</v>
      </c>
      <c r="X61" s="360">
        <f t="shared" si="14"/>
        <v>75600</v>
      </c>
      <c r="Y61" s="360">
        <f t="shared" si="14"/>
        <v>75600</v>
      </c>
      <c r="Z61" s="360">
        <f t="shared" si="14"/>
        <v>75600</v>
      </c>
      <c r="AA61" s="360">
        <f t="shared" si="14"/>
        <v>75600</v>
      </c>
      <c r="AB61" s="360">
        <f t="shared" si="14"/>
        <v>75600</v>
      </c>
      <c r="AC61" s="360">
        <f t="shared" si="14"/>
        <v>75600</v>
      </c>
      <c r="AD61" s="360">
        <f t="shared" si="14"/>
        <v>75600</v>
      </c>
      <c r="AE61" s="360">
        <f t="shared" si="14"/>
        <v>75600</v>
      </c>
      <c r="AF61" s="360">
        <f t="shared" si="14"/>
        <v>75600</v>
      </c>
      <c r="AG61" s="356"/>
    </row>
    <row r="62" spans="1:33" ht="18">
      <c r="R62" s="356"/>
      <c r="S62" s="359" t="s">
        <v>207</v>
      </c>
      <c r="T62" s="356">
        <v>4010</v>
      </c>
      <c r="U62" s="360">
        <f t="shared" ref="U62:AF62" si="15">U19*$T$19</f>
        <v>0</v>
      </c>
      <c r="V62" s="360">
        <f t="shared" si="15"/>
        <v>0</v>
      </c>
      <c r="W62" s="360">
        <f t="shared" si="15"/>
        <v>0</v>
      </c>
      <c r="X62" s="360">
        <f t="shared" si="15"/>
        <v>0</v>
      </c>
      <c r="Y62" s="360">
        <f t="shared" si="15"/>
        <v>0</v>
      </c>
      <c r="Z62" s="360">
        <f t="shared" si="15"/>
        <v>0</v>
      </c>
      <c r="AA62" s="360">
        <f t="shared" si="15"/>
        <v>0</v>
      </c>
      <c r="AB62" s="360">
        <f t="shared" si="15"/>
        <v>0</v>
      </c>
      <c r="AC62" s="360">
        <f t="shared" si="15"/>
        <v>0</v>
      </c>
      <c r="AD62" s="360">
        <f t="shared" si="15"/>
        <v>0</v>
      </c>
      <c r="AE62" s="360">
        <f t="shared" si="15"/>
        <v>0</v>
      </c>
      <c r="AF62" s="360">
        <f t="shared" si="15"/>
        <v>0</v>
      </c>
      <c r="AG62" s="356"/>
    </row>
    <row r="63" spans="1:33" ht="18">
      <c r="R63" s="356"/>
      <c r="S63" s="359" t="s">
        <v>208</v>
      </c>
      <c r="T63" s="356">
        <v>3800</v>
      </c>
      <c r="U63" s="360">
        <f t="shared" ref="U63:AF63" si="16">U20*$T$20</f>
        <v>0</v>
      </c>
      <c r="V63" s="360">
        <f t="shared" si="16"/>
        <v>0</v>
      </c>
      <c r="W63" s="360">
        <f t="shared" si="16"/>
        <v>0</v>
      </c>
      <c r="X63" s="360">
        <f t="shared" si="16"/>
        <v>0</v>
      </c>
      <c r="Y63" s="360">
        <f t="shared" si="16"/>
        <v>0</v>
      </c>
      <c r="Z63" s="360">
        <f t="shared" si="16"/>
        <v>0</v>
      </c>
      <c r="AA63" s="360">
        <f t="shared" si="16"/>
        <v>0</v>
      </c>
      <c r="AB63" s="360">
        <f t="shared" si="16"/>
        <v>0</v>
      </c>
      <c r="AC63" s="360">
        <f t="shared" si="16"/>
        <v>0</v>
      </c>
      <c r="AD63" s="360">
        <f t="shared" si="16"/>
        <v>0</v>
      </c>
      <c r="AE63" s="360">
        <f t="shared" si="16"/>
        <v>0</v>
      </c>
      <c r="AF63" s="360">
        <f t="shared" si="16"/>
        <v>0</v>
      </c>
      <c r="AG63" s="356"/>
    </row>
    <row r="64" spans="1:33" ht="18">
      <c r="R64" s="356"/>
      <c r="S64" s="359" t="s">
        <v>209</v>
      </c>
      <c r="T64" s="356">
        <v>3850</v>
      </c>
      <c r="U64" s="360">
        <f t="shared" ref="U64:AF64" si="17">U21*$T$21</f>
        <v>0</v>
      </c>
      <c r="V64" s="360">
        <f t="shared" si="17"/>
        <v>0</v>
      </c>
      <c r="W64" s="360">
        <f t="shared" si="17"/>
        <v>0</v>
      </c>
      <c r="X64" s="360">
        <f t="shared" si="17"/>
        <v>0</v>
      </c>
      <c r="Y64" s="360">
        <f t="shared" si="17"/>
        <v>327250</v>
      </c>
      <c r="Z64" s="360">
        <f t="shared" si="17"/>
        <v>404250</v>
      </c>
      <c r="AA64" s="360">
        <f t="shared" si="17"/>
        <v>404250</v>
      </c>
      <c r="AB64" s="360">
        <f t="shared" si="17"/>
        <v>404250</v>
      </c>
      <c r="AC64" s="360">
        <f t="shared" si="17"/>
        <v>404250</v>
      </c>
      <c r="AD64" s="360">
        <f t="shared" si="17"/>
        <v>519750</v>
      </c>
      <c r="AE64" s="360">
        <f t="shared" si="17"/>
        <v>519750</v>
      </c>
      <c r="AF64" s="360">
        <f t="shared" si="17"/>
        <v>519750</v>
      </c>
      <c r="AG64" s="356"/>
    </row>
    <row r="65" spans="18:33" ht="18">
      <c r="R65" s="356"/>
      <c r="S65" s="359" t="s">
        <v>210</v>
      </c>
      <c r="T65" s="356">
        <v>2630</v>
      </c>
      <c r="U65" s="360">
        <f t="shared" ref="U65:AF65" si="18">U22*$T$22</f>
        <v>0</v>
      </c>
      <c r="V65" s="360">
        <f t="shared" si="18"/>
        <v>0</v>
      </c>
      <c r="W65" s="360">
        <f t="shared" si="18"/>
        <v>0</v>
      </c>
      <c r="X65" s="360">
        <f t="shared" si="18"/>
        <v>0</v>
      </c>
      <c r="Y65" s="360">
        <f t="shared" si="18"/>
        <v>0</v>
      </c>
      <c r="Z65" s="360">
        <f t="shared" si="18"/>
        <v>0</v>
      </c>
      <c r="AA65" s="360">
        <f t="shared" si="18"/>
        <v>0</v>
      </c>
      <c r="AB65" s="360">
        <f t="shared" si="18"/>
        <v>0</v>
      </c>
      <c r="AC65" s="360">
        <f t="shared" si="18"/>
        <v>0</v>
      </c>
      <c r="AD65" s="360">
        <f t="shared" si="18"/>
        <v>0</v>
      </c>
      <c r="AE65" s="360">
        <f t="shared" si="18"/>
        <v>0</v>
      </c>
      <c r="AF65" s="360">
        <f t="shared" si="18"/>
        <v>0</v>
      </c>
      <c r="AG65" s="356"/>
    </row>
    <row r="66" spans="18:33" ht="18">
      <c r="R66" s="356"/>
      <c r="S66" s="359" t="s">
        <v>211</v>
      </c>
      <c r="T66" s="356">
        <v>4200</v>
      </c>
      <c r="U66" s="360">
        <f t="shared" ref="U66:AF66" si="19">U23*$T$23</f>
        <v>4200</v>
      </c>
      <c r="V66" s="360">
        <f t="shared" si="19"/>
        <v>4200</v>
      </c>
      <c r="W66" s="360">
        <f t="shared" si="19"/>
        <v>4200</v>
      </c>
      <c r="X66" s="360">
        <f t="shared" si="19"/>
        <v>4200</v>
      </c>
      <c r="Y66" s="360">
        <f t="shared" si="19"/>
        <v>4200</v>
      </c>
      <c r="Z66" s="360">
        <f t="shared" si="19"/>
        <v>4200</v>
      </c>
      <c r="AA66" s="360">
        <f t="shared" si="19"/>
        <v>4200</v>
      </c>
      <c r="AB66" s="360">
        <f t="shared" si="19"/>
        <v>4200</v>
      </c>
      <c r="AC66" s="360">
        <f t="shared" si="19"/>
        <v>4200</v>
      </c>
      <c r="AD66" s="360">
        <f t="shared" si="19"/>
        <v>4200</v>
      </c>
      <c r="AE66" s="360">
        <f t="shared" si="19"/>
        <v>4200</v>
      </c>
      <c r="AF66" s="360">
        <f t="shared" si="19"/>
        <v>4200</v>
      </c>
      <c r="AG66" s="360">
        <f>SUM(U58:AF66)</f>
        <v>4385500</v>
      </c>
    </row>
    <row r="67" spans="18:33" ht="18">
      <c r="R67" s="332" t="s">
        <v>215</v>
      </c>
      <c r="S67" s="332" t="s">
        <v>221</v>
      </c>
    </row>
    <row r="68" spans="18:33" ht="18">
      <c r="R68" s="340" t="s">
        <v>222</v>
      </c>
      <c r="S68" s="340"/>
      <c r="T68" s="340"/>
      <c r="U68" s="352" t="s">
        <v>202</v>
      </c>
      <c r="V68" s="352" t="s">
        <v>159</v>
      </c>
      <c r="W68" s="352" t="s">
        <v>129</v>
      </c>
      <c r="X68" s="352" t="s">
        <v>130</v>
      </c>
      <c r="Y68" s="352" t="s">
        <v>131</v>
      </c>
      <c r="Z68" s="352" t="s">
        <v>132</v>
      </c>
      <c r="AA68" s="352" t="s">
        <v>133</v>
      </c>
      <c r="AB68" s="352" t="s">
        <v>134</v>
      </c>
      <c r="AC68" s="352" t="s">
        <v>135</v>
      </c>
      <c r="AD68" s="352" t="s">
        <v>136</v>
      </c>
      <c r="AE68" s="352" t="s">
        <v>137</v>
      </c>
      <c r="AF68" s="352" t="s">
        <v>138</v>
      </c>
      <c r="AG68" s="341" t="s">
        <v>122</v>
      </c>
    </row>
    <row r="69" spans="18:33" ht="18">
      <c r="R69" s="340"/>
      <c r="S69" s="342" t="s">
        <v>203</v>
      </c>
      <c r="T69" s="340">
        <v>3690</v>
      </c>
      <c r="U69" s="353">
        <f t="shared" ref="U69:AF69" si="20">U27*$T$27</f>
        <v>0</v>
      </c>
      <c r="V69" s="353">
        <f t="shared" si="20"/>
        <v>0</v>
      </c>
      <c r="W69" s="353">
        <f t="shared" si="20"/>
        <v>0</v>
      </c>
      <c r="X69" s="353">
        <f t="shared" si="20"/>
        <v>0</v>
      </c>
      <c r="Y69" s="353">
        <f t="shared" si="20"/>
        <v>0</v>
      </c>
      <c r="Z69" s="353">
        <f t="shared" si="20"/>
        <v>0</v>
      </c>
      <c r="AA69" s="353">
        <f t="shared" si="20"/>
        <v>0</v>
      </c>
      <c r="AB69" s="353">
        <f t="shared" si="20"/>
        <v>0</v>
      </c>
      <c r="AC69" s="353">
        <f t="shared" si="20"/>
        <v>0</v>
      </c>
      <c r="AD69" s="353">
        <f t="shared" si="20"/>
        <v>0</v>
      </c>
      <c r="AE69" s="353">
        <f t="shared" si="20"/>
        <v>0</v>
      </c>
      <c r="AF69" s="353">
        <f t="shared" si="20"/>
        <v>0</v>
      </c>
      <c r="AG69" s="340"/>
    </row>
    <row r="70" spans="18:33" ht="18">
      <c r="R70" s="340"/>
      <c r="S70" s="342" t="s">
        <v>204</v>
      </c>
      <c r="T70" s="340">
        <v>4130</v>
      </c>
      <c r="U70" s="353">
        <f t="shared" ref="U70:AF70" si="21">U28*$T$28</f>
        <v>0</v>
      </c>
      <c r="V70" s="353">
        <f t="shared" si="21"/>
        <v>0</v>
      </c>
      <c r="W70" s="353">
        <f t="shared" si="21"/>
        <v>0</v>
      </c>
      <c r="X70" s="353">
        <f t="shared" si="21"/>
        <v>0</v>
      </c>
      <c r="Y70" s="353">
        <f t="shared" si="21"/>
        <v>0</v>
      </c>
      <c r="Z70" s="353">
        <f t="shared" si="21"/>
        <v>0</v>
      </c>
      <c r="AA70" s="353">
        <f t="shared" si="21"/>
        <v>0</v>
      </c>
      <c r="AB70" s="353">
        <f t="shared" si="21"/>
        <v>0</v>
      </c>
      <c r="AC70" s="353">
        <f t="shared" si="21"/>
        <v>0</v>
      </c>
      <c r="AD70" s="353">
        <f t="shared" si="21"/>
        <v>0</v>
      </c>
      <c r="AE70" s="353">
        <f t="shared" si="21"/>
        <v>0</v>
      </c>
      <c r="AF70" s="353">
        <f t="shared" si="21"/>
        <v>0</v>
      </c>
      <c r="AG70" s="340"/>
    </row>
    <row r="71" spans="18:33" ht="18">
      <c r="R71" s="340"/>
      <c r="S71" s="342" t="s">
        <v>205</v>
      </c>
      <c r="T71" s="340">
        <v>6750</v>
      </c>
      <c r="U71" s="353">
        <f t="shared" ref="U71:AF71" si="22">U29*$T$29</f>
        <v>0</v>
      </c>
      <c r="V71" s="353">
        <f t="shared" si="22"/>
        <v>0</v>
      </c>
      <c r="W71" s="353">
        <f t="shared" si="22"/>
        <v>0</v>
      </c>
      <c r="X71" s="353">
        <f t="shared" si="22"/>
        <v>0</v>
      </c>
      <c r="Y71" s="353">
        <f t="shared" si="22"/>
        <v>0</v>
      </c>
      <c r="Z71" s="353">
        <f t="shared" si="22"/>
        <v>0</v>
      </c>
      <c r="AA71" s="353">
        <f t="shared" si="22"/>
        <v>0</v>
      </c>
      <c r="AB71" s="353">
        <f t="shared" si="22"/>
        <v>0</v>
      </c>
      <c r="AC71" s="353">
        <f t="shared" si="22"/>
        <v>0</v>
      </c>
      <c r="AD71" s="353">
        <f t="shared" si="22"/>
        <v>0</v>
      </c>
      <c r="AE71" s="353">
        <f t="shared" si="22"/>
        <v>0</v>
      </c>
      <c r="AF71" s="353">
        <f t="shared" si="22"/>
        <v>0</v>
      </c>
      <c r="AG71" s="340"/>
    </row>
    <row r="72" spans="18:33" ht="18">
      <c r="R72" s="340"/>
      <c r="S72" s="342" t="s">
        <v>206</v>
      </c>
      <c r="T72" s="340">
        <v>4200</v>
      </c>
      <c r="U72" s="353">
        <f t="shared" ref="U72:AF72" si="23">U30*$T$30</f>
        <v>0</v>
      </c>
      <c r="V72" s="353">
        <f t="shared" si="23"/>
        <v>0</v>
      </c>
      <c r="W72" s="353">
        <f t="shared" si="23"/>
        <v>0</v>
      </c>
      <c r="X72" s="353">
        <f t="shared" si="23"/>
        <v>0</v>
      </c>
      <c r="Y72" s="353">
        <f t="shared" si="23"/>
        <v>0</v>
      </c>
      <c r="Z72" s="353">
        <f t="shared" si="23"/>
        <v>0</v>
      </c>
      <c r="AA72" s="353">
        <f t="shared" si="23"/>
        <v>0</v>
      </c>
      <c r="AB72" s="353">
        <f t="shared" si="23"/>
        <v>0</v>
      </c>
      <c r="AC72" s="353">
        <f t="shared" si="23"/>
        <v>0</v>
      </c>
      <c r="AD72" s="353">
        <f t="shared" si="23"/>
        <v>0</v>
      </c>
      <c r="AE72" s="353">
        <f t="shared" si="23"/>
        <v>0</v>
      </c>
      <c r="AF72" s="353">
        <f t="shared" si="23"/>
        <v>0</v>
      </c>
      <c r="AG72" s="340"/>
    </row>
    <row r="73" spans="18:33" ht="18">
      <c r="R73" s="340"/>
      <c r="S73" s="342" t="s">
        <v>207</v>
      </c>
      <c r="T73" s="340">
        <v>4010</v>
      </c>
      <c r="U73" s="353">
        <f t="shared" ref="U73:AF73" si="24">U31*$T$31</f>
        <v>0</v>
      </c>
      <c r="V73" s="353">
        <f t="shared" si="24"/>
        <v>0</v>
      </c>
      <c r="W73" s="353">
        <f t="shared" si="24"/>
        <v>0</v>
      </c>
      <c r="X73" s="353">
        <f t="shared" si="24"/>
        <v>0</v>
      </c>
      <c r="Y73" s="353">
        <f t="shared" si="24"/>
        <v>0</v>
      </c>
      <c r="Z73" s="353">
        <f t="shared" si="24"/>
        <v>0</v>
      </c>
      <c r="AA73" s="353">
        <f t="shared" si="24"/>
        <v>0</v>
      </c>
      <c r="AB73" s="353">
        <f t="shared" si="24"/>
        <v>0</v>
      </c>
      <c r="AC73" s="353">
        <f t="shared" si="24"/>
        <v>0</v>
      </c>
      <c r="AD73" s="353">
        <f t="shared" si="24"/>
        <v>0</v>
      </c>
      <c r="AE73" s="353">
        <f t="shared" si="24"/>
        <v>0</v>
      </c>
      <c r="AF73" s="353">
        <f t="shared" si="24"/>
        <v>0</v>
      </c>
      <c r="AG73" s="340"/>
    </row>
    <row r="74" spans="18:33" ht="18">
      <c r="R74" s="340"/>
      <c r="S74" s="342" t="s">
        <v>208</v>
      </c>
      <c r="T74" s="340">
        <v>3800</v>
      </c>
      <c r="U74" s="353">
        <f t="shared" ref="U74:AF74" si="25">U32*$T$32</f>
        <v>0</v>
      </c>
      <c r="V74" s="353">
        <f t="shared" si="25"/>
        <v>0</v>
      </c>
      <c r="W74" s="353">
        <f t="shared" si="25"/>
        <v>0</v>
      </c>
      <c r="X74" s="353">
        <f t="shared" si="25"/>
        <v>0</v>
      </c>
      <c r="Y74" s="353">
        <f t="shared" si="25"/>
        <v>0</v>
      </c>
      <c r="Z74" s="353">
        <f t="shared" si="25"/>
        <v>0</v>
      </c>
      <c r="AA74" s="353">
        <f t="shared" si="25"/>
        <v>0</v>
      </c>
      <c r="AB74" s="353">
        <f t="shared" si="25"/>
        <v>0</v>
      </c>
      <c r="AC74" s="353">
        <f t="shared" si="25"/>
        <v>0</v>
      </c>
      <c r="AD74" s="353">
        <f t="shared" si="25"/>
        <v>0</v>
      </c>
      <c r="AE74" s="353">
        <f t="shared" si="25"/>
        <v>0</v>
      </c>
      <c r="AF74" s="353">
        <f t="shared" si="25"/>
        <v>0</v>
      </c>
      <c r="AG74" s="340"/>
    </row>
    <row r="75" spans="18:33" ht="18">
      <c r="R75" s="340"/>
      <c r="S75" s="342" t="s">
        <v>209</v>
      </c>
      <c r="T75" s="340">
        <v>3850</v>
      </c>
      <c r="U75" s="353">
        <f t="shared" ref="U75:AF75" si="26">U33*$T$33</f>
        <v>0</v>
      </c>
      <c r="V75" s="353">
        <f t="shared" si="26"/>
        <v>0</v>
      </c>
      <c r="W75" s="353">
        <f t="shared" si="26"/>
        <v>0</v>
      </c>
      <c r="X75" s="353">
        <f t="shared" si="26"/>
        <v>0</v>
      </c>
      <c r="Y75" s="353">
        <f t="shared" si="26"/>
        <v>0</v>
      </c>
      <c r="Z75" s="353">
        <f t="shared" si="26"/>
        <v>0</v>
      </c>
      <c r="AA75" s="353">
        <f t="shared" si="26"/>
        <v>0</v>
      </c>
      <c r="AB75" s="353">
        <f t="shared" si="26"/>
        <v>0</v>
      </c>
      <c r="AC75" s="353">
        <f t="shared" si="26"/>
        <v>0</v>
      </c>
      <c r="AD75" s="353">
        <f t="shared" si="26"/>
        <v>0</v>
      </c>
      <c r="AE75" s="353">
        <f t="shared" si="26"/>
        <v>0</v>
      </c>
      <c r="AF75" s="353">
        <f t="shared" si="26"/>
        <v>0</v>
      </c>
      <c r="AG75" s="340"/>
    </row>
    <row r="76" spans="18:33" ht="18">
      <c r="R76" s="340"/>
      <c r="S76" s="342" t="s">
        <v>210</v>
      </c>
      <c r="T76" s="340">
        <v>2630</v>
      </c>
      <c r="U76" s="353">
        <f t="shared" ref="U76:AF76" si="27">U34*$T$34</f>
        <v>0</v>
      </c>
      <c r="V76" s="353">
        <f t="shared" si="27"/>
        <v>0</v>
      </c>
      <c r="W76" s="353">
        <f t="shared" si="27"/>
        <v>0</v>
      </c>
      <c r="X76" s="353">
        <f t="shared" si="27"/>
        <v>0</v>
      </c>
      <c r="Y76" s="353">
        <f t="shared" si="27"/>
        <v>0</v>
      </c>
      <c r="Z76" s="353">
        <f t="shared" si="27"/>
        <v>0</v>
      </c>
      <c r="AA76" s="353">
        <f t="shared" si="27"/>
        <v>0</v>
      </c>
      <c r="AB76" s="353">
        <f t="shared" si="27"/>
        <v>0</v>
      </c>
      <c r="AC76" s="353">
        <f t="shared" si="27"/>
        <v>0</v>
      </c>
      <c r="AD76" s="353">
        <f t="shared" si="27"/>
        <v>0</v>
      </c>
      <c r="AE76" s="353">
        <f t="shared" si="27"/>
        <v>0</v>
      </c>
      <c r="AF76" s="353">
        <f t="shared" si="27"/>
        <v>0</v>
      </c>
      <c r="AG76" s="340"/>
    </row>
    <row r="77" spans="18:33" ht="18">
      <c r="R77" s="340"/>
      <c r="S77" s="342" t="s">
        <v>211</v>
      </c>
      <c r="T77" s="340">
        <v>4200</v>
      </c>
      <c r="U77" s="353">
        <f t="shared" ref="U77:AF77" si="28">U35*$T$35</f>
        <v>0</v>
      </c>
      <c r="V77" s="353">
        <f t="shared" si="28"/>
        <v>0</v>
      </c>
      <c r="W77" s="353">
        <f t="shared" si="28"/>
        <v>0</v>
      </c>
      <c r="X77" s="353">
        <f t="shared" si="28"/>
        <v>0</v>
      </c>
      <c r="Y77" s="353">
        <f t="shared" si="28"/>
        <v>0</v>
      </c>
      <c r="Z77" s="353">
        <f t="shared" si="28"/>
        <v>0</v>
      </c>
      <c r="AA77" s="353">
        <f t="shared" si="28"/>
        <v>0</v>
      </c>
      <c r="AB77" s="353">
        <f t="shared" si="28"/>
        <v>0</v>
      </c>
      <c r="AC77" s="353">
        <f t="shared" si="28"/>
        <v>0</v>
      </c>
      <c r="AD77" s="353">
        <f t="shared" si="28"/>
        <v>0</v>
      </c>
      <c r="AE77" s="353">
        <f t="shared" si="28"/>
        <v>0</v>
      </c>
      <c r="AF77" s="353">
        <f t="shared" si="28"/>
        <v>0</v>
      </c>
      <c r="AG77" s="353">
        <f>SUM(U69:AF77)</f>
        <v>0</v>
      </c>
    </row>
    <row r="78" spans="18:33" ht="18">
      <c r="R78" s="340" t="s">
        <v>215</v>
      </c>
      <c r="S78" s="340" t="s">
        <v>214</v>
      </c>
      <c r="T78" s="340">
        <v>3800</v>
      </c>
      <c r="U78" s="353">
        <f t="shared" ref="U78:AF78" si="29">U36*$T$36</f>
        <v>0</v>
      </c>
      <c r="V78" s="353">
        <f t="shared" si="29"/>
        <v>0</v>
      </c>
      <c r="W78" s="353">
        <f t="shared" si="29"/>
        <v>0</v>
      </c>
      <c r="X78" s="353">
        <f t="shared" si="29"/>
        <v>91200</v>
      </c>
      <c r="Y78" s="353">
        <f t="shared" si="29"/>
        <v>91200</v>
      </c>
      <c r="Z78" s="353">
        <f t="shared" si="29"/>
        <v>91200</v>
      </c>
      <c r="AA78" s="353">
        <f t="shared" si="29"/>
        <v>91200</v>
      </c>
      <c r="AB78" s="353">
        <f t="shared" si="29"/>
        <v>91200</v>
      </c>
      <c r="AC78" s="353">
        <f t="shared" si="29"/>
        <v>91200</v>
      </c>
      <c r="AD78" s="353">
        <f t="shared" si="29"/>
        <v>91200</v>
      </c>
      <c r="AE78" s="353">
        <f t="shared" si="29"/>
        <v>91200</v>
      </c>
      <c r="AF78" s="353">
        <f t="shared" si="29"/>
        <v>91200</v>
      </c>
      <c r="AG78" s="353">
        <f>AG36*AF36</f>
        <v>0</v>
      </c>
    </row>
    <row r="79" spans="18:33" ht="18">
      <c r="R79" s="340"/>
      <c r="S79" s="340" t="s">
        <v>216</v>
      </c>
      <c r="T79" s="340">
        <v>3200</v>
      </c>
      <c r="U79" s="353">
        <f t="shared" ref="U79:AF79" si="30">U37*$T$37</f>
        <v>0</v>
      </c>
      <c r="V79" s="353">
        <f t="shared" si="30"/>
        <v>0</v>
      </c>
      <c r="W79" s="353">
        <f t="shared" si="30"/>
        <v>0</v>
      </c>
      <c r="X79" s="353">
        <f t="shared" si="30"/>
        <v>19200</v>
      </c>
      <c r="Y79" s="353">
        <f t="shared" si="30"/>
        <v>19200</v>
      </c>
      <c r="Z79" s="353">
        <f t="shared" si="30"/>
        <v>19200</v>
      </c>
      <c r="AA79" s="353">
        <f t="shared" si="30"/>
        <v>19200</v>
      </c>
      <c r="AB79" s="353">
        <f t="shared" si="30"/>
        <v>19200</v>
      </c>
      <c r="AC79" s="353">
        <f t="shared" si="30"/>
        <v>19200</v>
      </c>
      <c r="AD79" s="353">
        <f t="shared" si="30"/>
        <v>19200</v>
      </c>
      <c r="AE79" s="353">
        <f t="shared" si="30"/>
        <v>19200</v>
      </c>
      <c r="AF79" s="353">
        <f t="shared" si="30"/>
        <v>19200</v>
      </c>
      <c r="AG79" s="353">
        <f>AG37*AF37</f>
        <v>0</v>
      </c>
    </row>
    <row r="80" spans="18:33" ht="18">
      <c r="R80" s="340"/>
      <c r="S80" s="340" t="s">
        <v>217</v>
      </c>
      <c r="T80" s="340">
        <v>10000</v>
      </c>
      <c r="U80" s="353">
        <f t="shared" ref="U80:AF82" si="31">U38*$T$38</f>
        <v>200000</v>
      </c>
      <c r="V80" s="353">
        <f t="shared" si="31"/>
        <v>200000</v>
      </c>
      <c r="W80" s="353">
        <f t="shared" si="31"/>
        <v>200000</v>
      </c>
      <c r="X80" s="353">
        <f t="shared" si="31"/>
        <v>200000</v>
      </c>
      <c r="Y80" s="353">
        <f t="shared" si="31"/>
        <v>200000</v>
      </c>
      <c r="Z80" s="353">
        <f t="shared" si="31"/>
        <v>200000</v>
      </c>
      <c r="AA80" s="353">
        <f t="shared" si="31"/>
        <v>200000</v>
      </c>
      <c r="AB80" s="353">
        <f t="shared" si="31"/>
        <v>200000</v>
      </c>
      <c r="AC80" s="353">
        <f t="shared" si="31"/>
        <v>200000</v>
      </c>
      <c r="AD80" s="353">
        <f t="shared" si="31"/>
        <v>200000</v>
      </c>
      <c r="AE80" s="353">
        <f t="shared" si="31"/>
        <v>200000</v>
      </c>
      <c r="AF80" s="353">
        <f t="shared" si="31"/>
        <v>200000</v>
      </c>
      <c r="AG80" s="353">
        <f>AG38*AF38</f>
        <v>0</v>
      </c>
    </row>
    <row r="81" spans="18:33" ht="18">
      <c r="R81" s="340" t="s">
        <v>218</v>
      </c>
      <c r="S81" s="340" t="s">
        <v>214</v>
      </c>
      <c r="T81" s="340">
        <v>3800</v>
      </c>
      <c r="U81" s="353">
        <f t="shared" si="31"/>
        <v>0</v>
      </c>
      <c r="V81" s="353">
        <f t="shared" si="31"/>
        <v>700000</v>
      </c>
      <c r="W81" s="353">
        <f t="shared" si="31"/>
        <v>700000</v>
      </c>
      <c r="X81" s="353">
        <f t="shared" si="31"/>
        <v>700000</v>
      </c>
      <c r="Y81" s="353">
        <f t="shared" si="31"/>
        <v>700000</v>
      </c>
      <c r="Z81" s="353">
        <f t="shared" si="31"/>
        <v>800000</v>
      </c>
      <c r="AA81" s="353">
        <f t="shared" si="31"/>
        <v>800000</v>
      </c>
      <c r="AB81" s="353">
        <f t="shared" si="31"/>
        <v>800000</v>
      </c>
      <c r="AC81" s="353">
        <f t="shared" si="31"/>
        <v>800000</v>
      </c>
      <c r="AD81" s="353">
        <f t="shared" si="31"/>
        <v>800000</v>
      </c>
      <c r="AE81" s="353">
        <f t="shared" si="31"/>
        <v>800000</v>
      </c>
      <c r="AF81" s="353">
        <f t="shared" si="31"/>
        <v>800000</v>
      </c>
      <c r="AG81" s="353"/>
    </row>
    <row r="82" spans="18:33" ht="18">
      <c r="R82" s="340"/>
      <c r="S82" s="340" t="s">
        <v>216</v>
      </c>
      <c r="T82" s="340">
        <v>3200</v>
      </c>
      <c r="U82" s="353">
        <f t="shared" si="31"/>
        <v>0</v>
      </c>
      <c r="V82" s="353">
        <f t="shared" si="31"/>
        <v>100000</v>
      </c>
      <c r="W82" s="353">
        <f t="shared" si="31"/>
        <v>100000</v>
      </c>
      <c r="X82" s="353">
        <f t="shared" si="31"/>
        <v>100000</v>
      </c>
      <c r="Y82" s="353">
        <f t="shared" si="31"/>
        <v>100000</v>
      </c>
      <c r="Z82" s="353">
        <f t="shared" si="31"/>
        <v>200000</v>
      </c>
      <c r="AA82" s="353">
        <f t="shared" si="31"/>
        <v>200000</v>
      </c>
      <c r="AB82" s="353">
        <f t="shared" si="31"/>
        <v>200000</v>
      </c>
      <c r="AC82" s="353">
        <f t="shared" si="31"/>
        <v>200000</v>
      </c>
      <c r="AD82" s="353">
        <f t="shared" si="31"/>
        <v>200000</v>
      </c>
      <c r="AE82" s="353">
        <f t="shared" si="31"/>
        <v>200000</v>
      </c>
      <c r="AF82" s="353">
        <f t="shared" si="31"/>
        <v>200000</v>
      </c>
      <c r="AG82" s="353"/>
    </row>
    <row r="83" spans="18:33" ht="18">
      <c r="S83" s="340"/>
      <c r="T83" s="340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</row>
    <row r="84" spans="18:33" ht="18">
      <c r="S84" s="340"/>
      <c r="T84" s="340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</row>
    <row r="85" spans="18:33" ht="18">
      <c r="R85" s="332" t="s">
        <v>224</v>
      </c>
      <c r="S85" s="332" t="s">
        <v>221</v>
      </c>
    </row>
    <row r="86" spans="18:33" ht="18">
      <c r="R86" s="361" t="s">
        <v>222</v>
      </c>
      <c r="S86" s="361"/>
      <c r="T86" s="361"/>
      <c r="U86" s="362" t="s">
        <v>202</v>
      </c>
      <c r="V86" s="362" t="s">
        <v>159</v>
      </c>
      <c r="W86" s="362" t="s">
        <v>129</v>
      </c>
      <c r="X86" s="362" t="s">
        <v>130</v>
      </c>
      <c r="Y86" s="362" t="s">
        <v>131</v>
      </c>
      <c r="Z86" s="362" t="s">
        <v>132</v>
      </c>
      <c r="AA86" s="362" t="s">
        <v>133</v>
      </c>
      <c r="AB86" s="362" t="s">
        <v>134</v>
      </c>
      <c r="AC86" s="362" t="s">
        <v>135</v>
      </c>
      <c r="AD86" s="362" t="s">
        <v>136</v>
      </c>
      <c r="AE86" s="362" t="s">
        <v>137</v>
      </c>
      <c r="AF86" s="362" t="s">
        <v>138</v>
      </c>
      <c r="AG86" s="363" t="s">
        <v>122</v>
      </c>
    </row>
    <row r="87" spans="18:33" ht="18">
      <c r="R87" s="361"/>
      <c r="S87" s="364" t="s">
        <v>203</v>
      </c>
      <c r="T87" s="361">
        <v>3690</v>
      </c>
      <c r="U87" s="365">
        <f t="shared" ref="U87:AF95" si="32">U47-U58+U69</f>
        <v>3690</v>
      </c>
      <c r="V87" s="365">
        <f t="shared" si="32"/>
        <v>3690</v>
      </c>
      <c r="W87" s="365">
        <f t="shared" si="32"/>
        <v>3690</v>
      </c>
      <c r="X87" s="365">
        <f t="shared" si="32"/>
        <v>3690</v>
      </c>
      <c r="Y87" s="365">
        <f t="shared" si="32"/>
        <v>3690</v>
      </c>
      <c r="Z87" s="365">
        <f t="shared" si="32"/>
        <v>3690</v>
      </c>
      <c r="AA87" s="365">
        <f t="shared" si="32"/>
        <v>3690</v>
      </c>
      <c r="AB87" s="365">
        <f t="shared" si="32"/>
        <v>3690</v>
      </c>
      <c r="AC87" s="365">
        <f t="shared" si="32"/>
        <v>3690</v>
      </c>
      <c r="AD87" s="365">
        <f t="shared" si="32"/>
        <v>3690</v>
      </c>
      <c r="AE87" s="365">
        <f t="shared" si="32"/>
        <v>3690</v>
      </c>
      <c r="AF87" s="365">
        <f t="shared" si="32"/>
        <v>3690</v>
      </c>
      <c r="AG87" s="361"/>
    </row>
    <row r="88" spans="18:33" ht="18">
      <c r="R88" s="361"/>
      <c r="S88" s="364" t="s">
        <v>204</v>
      </c>
      <c r="T88" s="361">
        <v>4130</v>
      </c>
      <c r="U88" s="365">
        <f t="shared" si="32"/>
        <v>330400</v>
      </c>
      <c r="V88" s="365">
        <f t="shared" si="32"/>
        <v>330400</v>
      </c>
      <c r="W88" s="365">
        <f t="shared" si="32"/>
        <v>330400</v>
      </c>
      <c r="X88" s="365">
        <f t="shared" si="32"/>
        <v>330400</v>
      </c>
      <c r="Y88" s="365">
        <f t="shared" si="32"/>
        <v>330400</v>
      </c>
      <c r="Z88" s="365">
        <f t="shared" si="32"/>
        <v>330400</v>
      </c>
      <c r="AA88" s="365">
        <f t="shared" si="32"/>
        <v>330400</v>
      </c>
      <c r="AB88" s="365">
        <f t="shared" si="32"/>
        <v>330400</v>
      </c>
      <c r="AC88" s="365">
        <f t="shared" si="32"/>
        <v>330400</v>
      </c>
      <c r="AD88" s="365">
        <f t="shared" si="32"/>
        <v>330400</v>
      </c>
      <c r="AE88" s="365">
        <f t="shared" si="32"/>
        <v>330400</v>
      </c>
      <c r="AF88" s="365">
        <f t="shared" si="32"/>
        <v>330400</v>
      </c>
      <c r="AG88" s="361"/>
    </row>
    <row r="89" spans="18:33" ht="18">
      <c r="R89" s="361"/>
      <c r="S89" s="364" t="s">
        <v>205</v>
      </c>
      <c r="T89" s="361">
        <v>6750</v>
      </c>
      <c r="U89" s="365">
        <f t="shared" si="32"/>
        <v>13500</v>
      </c>
      <c r="V89" s="365">
        <f t="shared" si="32"/>
        <v>13500</v>
      </c>
      <c r="W89" s="365">
        <f t="shared" si="32"/>
        <v>13500</v>
      </c>
      <c r="X89" s="365">
        <f t="shared" si="32"/>
        <v>13500</v>
      </c>
      <c r="Y89" s="365">
        <f t="shared" si="32"/>
        <v>13500</v>
      </c>
      <c r="Z89" s="365">
        <f t="shared" si="32"/>
        <v>13500</v>
      </c>
      <c r="AA89" s="365">
        <f t="shared" si="32"/>
        <v>13500</v>
      </c>
      <c r="AB89" s="365">
        <f t="shared" si="32"/>
        <v>13500</v>
      </c>
      <c r="AC89" s="365">
        <f t="shared" si="32"/>
        <v>13500</v>
      </c>
      <c r="AD89" s="365">
        <f t="shared" si="32"/>
        <v>13500</v>
      </c>
      <c r="AE89" s="365">
        <f t="shared" si="32"/>
        <v>13500</v>
      </c>
      <c r="AF89" s="365">
        <f t="shared" si="32"/>
        <v>13500</v>
      </c>
      <c r="AG89" s="361"/>
    </row>
    <row r="90" spans="18:33" ht="18">
      <c r="R90" s="361"/>
      <c r="S90" s="364" t="s">
        <v>206</v>
      </c>
      <c r="T90" s="361">
        <v>4200</v>
      </c>
      <c r="U90" s="365">
        <f t="shared" si="32"/>
        <v>75600</v>
      </c>
      <c r="V90" s="365">
        <f t="shared" si="32"/>
        <v>0</v>
      </c>
      <c r="W90" s="365">
        <f t="shared" si="32"/>
        <v>0</v>
      </c>
      <c r="X90" s="365">
        <f t="shared" si="32"/>
        <v>0</v>
      </c>
      <c r="Y90" s="365">
        <f t="shared" si="32"/>
        <v>0</v>
      </c>
      <c r="Z90" s="365">
        <f t="shared" si="32"/>
        <v>0</v>
      </c>
      <c r="AA90" s="365">
        <f t="shared" si="32"/>
        <v>0</v>
      </c>
      <c r="AB90" s="365">
        <f t="shared" si="32"/>
        <v>0</v>
      </c>
      <c r="AC90" s="365">
        <f t="shared" si="32"/>
        <v>0</v>
      </c>
      <c r="AD90" s="365">
        <f t="shared" si="32"/>
        <v>0</v>
      </c>
      <c r="AE90" s="365">
        <f t="shared" si="32"/>
        <v>0</v>
      </c>
      <c r="AF90" s="365">
        <f t="shared" si="32"/>
        <v>0</v>
      </c>
      <c r="AG90" s="361"/>
    </row>
    <row r="91" spans="18:33" ht="18">
      <c r="R91" s="361"/>
      <c r="S91" s="364" t="s">
        <v>207</v>
      </c>
      <c r="T91" s="361">
        <v>4010</v>
      </c>
      <c r="U91" s="365">
        <f t="shared" si="32"/>
        <v>280700</v>
      </c>
      <c r="V91" s="365">
        <f t="shared" si="32"/>
        <v>280700</v>
      </c>
      <c r="W91" s="365">
        <f t="shared" si="32"/>
        <v>280700</v>
      </c>
      <c r="X91" s="365">
        <f t="shared" si="32"/>
        <v>280700</v>
      </c>
      <c r="Y91" s="365">
        <f t="shared" si="32"/>
        <v>280700</v>
      </c>
      <c r="Z91" s="365">
        <f t="shared" si="32"/>
        <v>280700</v>
      </c>
      <c r="AA91" s="365">
        <f t="shared" si="32"/>
        <v>280700</v>
      </c>
      <c r="AB91" s="365">
        <f t="shared" si="32"/>
        <v>280700</v>
      </c>
      <c r="AC91" s="365">
        <f t="shared" si="32"/>
        <v>280700</v>
      </c>
      <c r="AD91" s="365">
        <f t="shared" si="32"/>
        <v>280700</v>
      </c>
      <c r="AE91" s="365">
        <f t="shared" si="32"/>
        <v>280700</v>
      </c>
      <c r="AF91" s="365">
        <f t="shared" si="32"/>
        <v>280700</v>
      </c>
      <c r="AG91" s="361"/>
    </row>
    <row r="92" spans="18:33" ht="18">
      <c r="R92" s="361"/>
      <c r="S92" s="364" t="s">
        <v>208</v>
      </c>
      <c r="T92" s="361">
        <v>3800</v>
      </c>
      <c r="U92" s="365">
        <f t="shared" si="32"/>
        <v>513000</v>
      </c>
      <c r="V92" s="365">
        <f t="shared" si="32"/>
        <v>513000</v>
      </c>
      <c r="W92" s="365">
        <f t="shared" si="32"/>
        <v>513000</v>
      </c>
      <c r="X92" s="365">
        <f t="shared" si="32"/>
        <v>513000</v>
      </c>
      <c r="Y92" s="365">
        <f t="shared" si="32"/>
        <v>513000</v>
      </c>
      <c r="Z92" s="365">
        <f t="shared" si="32"/>
        <v>513000</v>
      </c>
      <c r="AA92" s="365">
        <f t="shared" si="32"/>
        <v>513000</v>
      </c>
      <c r="AB92" s="365">
        <f t="shared" si="32"/>
        <v>513000</v>
      </c>
      <c r="AC92" s="365">
        <f t="shared" si="32"/>
        <v>513000</v>
      </c>
      <c r="AD92" s="365">
        <f t="shared" si="32"/>
        <v>513000</v>
      </c>
      <c r="AE92" s="365">
        <f t="shared" si="32"/>
        <v>513000</v>
      </c>
      <c r="AF92" s="365">
        <f t="shared" si="32"/>
        <v>513000</v>
      </c>
      <c r="AG92" s="361"/>
    </row>
    <row r="93" spans="18:33" ht="18">
      <c r="R93" s="361"/>
      <c r="S93" s="364" t="s">
        <v>209</v>
      </c>
      <c r="T93" s="361">
        <v>3850</v>
      </c>
      <c r="U93" s="365">
        <f t="shared" si="32"/>
        <v>731500</v>
      </c>
      <c r="V93" s="365">
        <f t="shared" si="32"/>
        <v>731500</v>
      </c>
      <c r="W93" s="365">
        <f t="shared" si="32"/>
        <v>731500</v>
      </c>
      <c r="X93" s="365">
        <f t="shared" si="32"/>
        <v>731500</v>
      </c>
      <c r="Y93" s="365">
        <f t="shared" si="32"/>
        <v>404250</v>
      </c>
      <c r="Z93" s="365">
        <f t="shared" si="32"/>
        <v>327250</v>
      </c>
      <c r="AA93" s="365">
        <f t="shared" si="32"/>
        <v>327250</v>
      </c>
      <c r="AB93" s="365">
        <f t="shared" si="32"/>
        <v>327250</v>
      </c>
      <c r="AC93" s="365">
        <f t="shared" si="32"/>
        <v>327250</v>
      </c>
      <c r="AD93" s="365">
        <f t="shared" si="32"/>
        <v>211750</v>
      </c>
      <c r="AE93" s="365">
        <f t="shared" si="32"/>
        <v>211750</v>
      </c>
      <c r="AF93" s="365">
        <f t="shared" si="32"/>
        <v>211750</v>
      </c>
      <c r="AG93" s="361"/>
    </row>
    <row r="94" spans="18:33" ht="18">
      <c r="R94" s="361"/>
      <c r="S94" s="364" t="s">
        <v>210</v>
      </c>
      <c r="T94" s="361">
        <v>2630</v>
      </c>
      <c r="U94" s="365">
        <f t="shared" si="32"/>
        <v>263000</v>
      </c>
      <c r="V94" s="365">
        <f t="shared" si="32"/>
        <v>263000</v>
      </c>
      <c r="W94" s="365">
        <f t="shared" si="32"/>
        <v>263000</v>
      </c>
      <c r="X94" s="365">
        <f t="shared" si="32"/>
        <v>263000</v>
      </c>
      <c r="Y94" s="365">
        <f t="shared" si="32"/>
        <v>263000</v>
      </c>
      <c r="Z94" s="365">
        <f t="shared" si="32"/>
        <v>263000</v>
      </c>
      <c r="AA94" s="365">
        <f t="shared" si="32"/>
        <v>263000</v>
      </c>
      <c r="AB94" s="365">
        <f t="shared" si="32"/>
        <v>263000</v>
      </c>
      <c r="AC94" s="365">
        <f t="shared" si="32"/>
        <v>263000</v>
      </c>
      <c r="AD94" s="365">
        <f t="shared" si="32"/>
        <v>263000</v>
      </c>
      <c r="AE94" s="365">
        <f t="shared" si="32"/>
        <v>263000</v>
      </c>
      <c r="AF94" s="365">
        <f t="shared" si="32"/>
        <v>263000</v>
      </c>
      <c r="AG94" s="361"/>
    </row>
    <row r="95" spans="18:33" ht="18">
      <c r="R95" s="361"/>
      <c r="S95" s="364" t="s">
        <v>211</v>
      </c>
      <c r="T95" s="361">
        <v>4200</v>
      </c>
      <c r="U95" s="365">
        <f t="shared" si="32"/>
        <v>0</v>
      </c>
      <c r="V95" s="365">
        <f t="shared" si="32"/>
        <v>0</v>
      </c>
      <c r="W95" s="365">
        <f t="shared" si="32"/>
        <v>0</v>
      </c>
      <c r="X95" s="365">
        <f t="shared" si="32"/>
        <v>0</v>
      </c>
      <c r="Y95" s="365">
        <f t="shared" si="32"/>
        <v>0</v>
      </c>
      <c r="Z95" s="365">
        <f t="shared" si="32"/>
        <v>0</v>
      </c>
      <c r="AA95" s="365">
        <f t="shared" si="32"/>
        <v>0</v>
      </c>
      <c r="AB95" s="365">
        <f t="shared" si="32"/>
        <v>0</v>
      </c>
      <c r="AC95" s="365">
        <f t="shared" si="32"/>
        <v>0</v>
      </c>
      <c r="AD95" s="365">
        <f t="shared" si="32"/>
        <v>0</v>
      </c>
      <c r="AE95" s="365">
        <f t="shared" si="32"/>
        <v>0</v>
      </c>
      <c r="AF95" s="365">
        <f t="shared" si="32"/>
        <v>0</v>
      </c>
      <c r="AG95" s="365">
        <f>SUM(U87:AF95)</f>
        <v>22201580</v>
      </c>
    </row>
    <row r="96" spans="18:33" ht="18">
      <c r="R96" s="340" t="s">
        <v>215</v>
      </c>
      <c r="S96" s="340" t="s">
        <v>214</v>
      </c>
      <c r="T96" s="340">
        <v>3800</v>
      </c>
      <c r="U96" s="353">
        <f>U78</f>
        <v>0</v>
      </c>
      <c r="V96" s="353">
        <f t="shared" ref="V96:AF96" si="33">V78</f>
        <v>0</v>
      </c>
      <c r="W96" s="353">
        <f t="shared" si="33"/>
        <v>0</v>
      </c>
      <c r="X96" s="353">
        <f t="shared" si="33"/>
        <v>91200</v>
      </c>
      <c r="Y96" s="353">
        <f t="shared" si="33"/>
        <v>91200</v>
      </c>
      <c r="Z96" s="353">
        <f t="shared" si="33"/>
        <v>91200</v>
      </c>
      <c r="AA96" s="353">
        <f t="shared" si="33"/>
        <v>91200</v>
      </c>
      <c r="AB96" s="353">
        <f t="shared" si="33"/>
        <v>91200</v>
      </c>
      <c r="AC96" s="353">
        <f t="shared" si="33"/>
        <v>91200</v>
      </c>
      <c r="AD96" s="353">
        <f t="shared" si="33"/>
        <v>91200</v>
      </c>
      <c r="AE96" s="353">
        <f t="shared" si="33"/>
        <v>91200</v>
      </c>
      <c r="AF96" s="353">
        <f t="shared" si="33"/>
        <v>91200</v>
      </c>
      <c r="AG96" s="353">
        <f>AG54*AF54</f>
        <v>0</v>
      </c>
    </row>
    <row r="97" spans="18:33" ht="18">
      <c r="R97" s="340"/>
      <c r="S97" s="340" t="s">
        <v>216</v>
      </c>
      <c r="T97" s="340">
        <v>3200</v>
      </c>
      <c r="U97" s="353">
        <f t="shared" ref="U97:AF100" si="34">U79</f>
        <v>0</v>
      </c>
      <c r="V97" s="353">
        <f t="shared" si="34"/>
        <v>0</v>
      </c>
      <c r="W97" s="353">
        <f t="shared" si="34"/>
        <v>0</v>
      </c>
      <c r="X97" s="353">
        <f t="shared" si="34"/>
        <v>19200</v>
      </c>
      <c r="Y97" s="353">
        <f t="shared" si="34"/>
        <v>19200</v>
      </c>
      <c r="Z97" s="353">
        <f t="shared" si="34"/>
        <v>19200</v>
      </c>
      <c r="AA97" s="353">
        <f t="shared" si="34"/>
        <v>19200</v>
      </c>
      <c r="AB97" s="353">
        <f t="shared" si="34"/>
        <v>19200</v>
      </c>
      <c r="AC97" s="353">
        <f t="shared" si="34"/>
        <v>19200</v>
      </c>
      <c r="AD97" s="353">
        <f t="shared" si="34"/>
        <v>19200</v>
      </c>
      <c r="AE97" s="353">
        <f t="shared" si="34"/>
        <v>19200</v>
      </c>
      <c r="AF97" s="353">
        <f t="shared" si="34"/>
        <v>19200</v>
      </c>
      <c r="AG97" s="353"/>
    </row>
    <row r="98" spans="18:33" ht="18">
      <c r="R98" s="340"/>
      <c r="S98" s="340" t="s">
        <v>217</v>
      </c>
      <c r="T98" s="340">
        <v>10000</v>
      </c>
      <c r="U98" s="353">
        <f t="shared" si="34"/>
        <v>200000</v>
      </c>
      <c r="V98" s="353">
        <f t="shared" si="34"/>
        <v>200000</v>
      </c>
      <c r="W98" s="353">
        <f t="shared" si="34"/>
        <v>200000</v>
      </c>
      <c r="X98" s="353">
        <f t="shared" si="34"/>
        <v>200000</v>
      </c>
      <c r="Y98" s="353">
        <f t="shared" si="34"/>
        <v>200000</v>
      </c>
      <c r="Z98" s="353">
        <f t="shared" si="34"/>
        <v>200000</v>
      </c>
      <c r="AA98" s="353">
        <f t="shared" si="34"/>
        <v>200000</v>
      </c>
      <c r="AB98" s="353">
        <f t="shared" si="34"/>
        <v>200000</v>
      </c>
      <c r="AC98" s="353">
        <f t="shared" si="34"/>
        <v>200000</v>
      </c>
      <c r="AD98" s="353">
        <f t="shared" si="34"/>
        <v>200000</v>
      </c>
      <c r="AE98" s="353">
        <f t="shared" si="34"/>
        <v>200000</v>
      </c>
      <c r="AF98" s="353">
        <f t="shared" si="34"/>
        <v>200000</v>
      </c>
      <c r="AG98" s="353">
        <f>AG56*AF56</f>
        <v>0</v>
      </c>
    </row>
    <row r="99" spans="18:33" ht="18">
      <c r="R99" s="340" t="s">
        <v>218</v>
      </c>
      <c r="S99" s="340" t="s">
        <v>214</v>
      </c>
      <c r="T99" s="340">
        <v>3800</v>
      </c>
      <c r="U99" s="353">
        <f t="shared" si="34"/>
        <v>0</v>
      </c>
      <c r="V99" s="353">
        <f t="shared" si="34"/>
        <v>700000</v>
      </c>
      <c r="W99" s="353">
        <f t="shared" si="34"/>
        <v>700000</v>
      </c>
      <c r="X99" s="353">
        <f t="shared" si="34"/>
        <v>700000</v>
      </c>
      <c r="Y99" s="353">
        <f t="shared" si="34"/>
        <v>700000</v>
      </c>
      <c r="Z99" s="353">
        <f t="shared" si="34"/>
        <v>800000</v>
      </c>
      <c r="AA99" s="353">
        <f t="shared" si="34"/>
        <v>800000</v>
      </c>
      <c r="AB99" s="353">
        <f t="shared" si="34"/>
        <v>800000</v>
      </c>
      <c r="AC99" s="353">
        <f t="shared" si="34"/>
        <v>800000</v>
      </c>
      <c r="AD99" s="353">
        <f t="shared" si="34"/>
        <v>800000</v>
      </c>
      <c r="AE99" s="353">
        <f t="shared" si="34"/>
        <v>800000</v>
      </c>
      <c r="AF99" s="353">
        <f t="shared" si="34"/>
        <v>800000</v>
      </c>
      <c r="AG99" s="353"/>
    </row>
    <row r="100" spans="18:33" ht="18">
      <c r="R100" s="340"/>
      <c r="S100" s="340" t="s">
        <v>216</v>
      </c>
      <c r="T100" s="340">
        <v>3200</v>
      </c>
      <c r="U100" s="353">
        <f t="shared" si="34"/>
        <v>0</v>
      </c>
      <c r="V100" s="353">
        <f t="shared" si="34"/>
        <v>100000</v>
      </c>
      <c r="W100" s="353">
        <f t="shared" si="34"/>
        <v>100000</v>
      </c>
      <c r="X100" s="353">
        <f t="shared" si="34"/>
        <v>100000</v>
      </c>
      <c r="Y100" s="353">
        <f t="shared" si="34"/>
        <v>100000</v>
      </c>
      <c r="Z100" s="353">
        <f t="shared" si="34"/>
        <v>200000</v>
      </c>
      <c r="AA100" s="353">
        <f t="shared" si="34"/>
        <v>200000</v>
      </c>
      <c r="AB100" s="353">
        <f t="shared" si="34"/>
        <v>200000</v>
      </c>
      <c r="AC100" s="353">
        <f t="shared" si="34"/>
        <v>200000</v>
      </c>
      <c r="AD100" s="353">
        <f t="shared" si="34"/>
        <v>200000</v>
      </c>
      <c r="AE100" s="353">
        <f t="shared" si="34"/>
        <v>200000</v>
      </c>
      <c r="AF100" s="353">
        <f t="shared" si="34"/>
        <v>200000</v>
      </c>
      <c r="AG100" s="353">
        <f>SUM(U87:AF100)</f>
        <v>35795180</v>
      </c>
    </row>
    <row r="102" spans="18:33" ht="18" customHeight="1">
      <c r="R102" t="s">
        <v>225</v>
      </c>
      <c r="S102" t="s">
        <v>204</v>
      </c>
      <c r="U102" s="347">
        <v>330400</v>
      </c>
      <c r="V102" s="347">
        <v>330400</v>
      </c>
      <c r="W102" s="347">
        <v>330400</v>
      </c>
      <c r="X102" s="347">
        <v>330400</v>
      </c>
      <c r="Y102" s="347">
        <v>330400</v>
      </c>
      <c r="Z102" s="347">
        <v>330400</v>
      </c>
      <c r="AA102" s="347">
        <v>330400</v>
      </c>
      <c r="AB102" s="347">
        <v>330400</v>
      </c>
      <c r="AC102" s="347">
        <v>330400</v>
      </c>
      <c r="AD102" s="347">
        <v>330400</v>
      </c>
      <c r="AE102" s="347">
        <v>330400</v>
      </c>
      <c r="AF102" s="347">
        <v>330400</v>
      </c>
      <c r="AG102" s="347">
        <f>SUM(T102:AF102)</f>
        <v>3964800</v>
      </c>
    </row>
    <row r="103" spans="18:33" ht="18" customHeight="1">
      <c r="R103" t="s">
        <v>226</v>
      </c>
      <c r="S103" t="s">
        <v>227</v>
      </c>
      <c r="U103" s="347">
        <v>731500</v>
      </c>
      <c r="V103" s="347">
        <v>731500</v>
      </c>
      <c r="W103" s="347">
        <v>731500</v>
      </c>
      <c r="X103" s="347">
        <v>731500</v>
      </c>
      <c r="Y103" s="347">
        <v>404250</v>
      </c>
      <c r="Z103" s="347">
        <v>327250</v>
      </c>
      <c r="AA103" s="347">
        <v>327250</v>
      </c>
      <c r="AB103" s="347">
        <v>327250</v>
      </c>
      <c r="AC103" s="347">
        <v>327250</v>
      </c>
      <c r="AD103" s="347">
        <v>211750</v>
      </c>
      <c r="AE103" s="347">
        <v>211750</v>
      </c>
      <c r="AF103" s="347">
        <v>211750</v>
      </c>
      <c r="AG103" s="347"/>
    </row>
    <row r="104" spans="18:33" ht="18" customHeight="1">
      <c r="R104"/>
      <c r="S104" t="s">
        <v>228</v>
      </c>
      <c r="U104" s="347">
        <v>280700</v>
      </c>
      <c r="V104" s="347">
        <v>280700</v>
      </c>
      <c r="W104" s="347">
        <v>280700</v>
      </c>
      <c r="X104" s="347">
        <v>280700</v>
      </c>
      <c r="Y104" s="347">
        <v>280700</v>
      </c>
      <c r="Z104" s="347">
        <v>280700</v>
      </c>
      <c r="AA104" s="347">
        <v>280700</v>
      </c>
      <c r="AB104" s="347">
        <v>280700</v>
      </c>
      <c r="AC104" s="347">
        <v>280700</v>
      </c>
      <c r="AD104" s="347">
        <v>280700</v>
      </c>
      <c r="AE104" s="347">
        <v>280700</v>
      </c>
      <c r="AF104" s="347">
        <v>280700</v>
      </c>
      <c r="AG104" s="347"/>
    </row>
    <row r="105" spans="18:33" ht="18" customHeight="1">
      <c r="R105"/>
      <c r="S105" t="s">
        <v>208</v>
      </c>
      <c r="U105" s="347">
        <v>513000</v>
      </c>
      <c r="V105" s="347">
        <v>513000</v>
      </c>
      <c r="W105" s="347">
        <v>513000</v>
      </c>
      <c r="X105" s="347">
        <v>513000</v>
      </c>
      <c r="Y105" s="347">
        <v>513000</v>
      </c>
      <c r="Z105" s="347">
        <v>513000</v>
      </c>
      <c r="AA105" s="347">
        <v>513000</v>
      </c>
      <c r="AB105" s="347">
        <v>513000</v>
      </c>
      <c r="AC105" s="347">
        <v>513000</v>
      </c>
      <c r="AD105" s="347">
        <v>513000</v>
      </c>
      <c r="AE105" s="347">
        <v>513000</v>
      </c>
      <c r="AF105" s="347">
        <v>513000</v>
      </c>
      <c r="AG105" s="347"/>
    </row>
    <row r="106" spans="18:33" ht="18" customHeight="1">
      <c r="U106" s="347">
        <f>SUM(U103:U105)</f>
        <v>1525200</v>
      </c>
      <c r="V106" s="347">
        <f t="shared" ref="V106:AE106" si="35">SUM(V103:V105)</f>
        <v>1525200</v>
      </c>
      <c r="W106" s="347">
        <f t="shared" si="35"/>
        <v>1525200</v>
      </c>
      <c r="X106" s="347">
        <f t="shared" si="35"/>
        <v>1525200</v>
      </c>
      <c r="Y106" s="347">
        <f t="shared" si="35"/>
        <v>1197950</v>
      </c>
      <c r="Z106" s="347">
        <f t="shared" si="35"/>
        <v>1120950</v>
      </c>
      <c r="AA106" s="347">
        <f t="shared" si="35"/>
        <v>1120950</v>
      </c>
      <c r="AB106" s="347">
        <f t="shared" si="35"/>
        <v>1120950</v>
      </c>
      <c r="AC106" s="347">
        <f t="shared" si="35"/>
        <v>1120950</v>
      </c>
      <c r="AD106" s="347">
        <f t="shared" si="35"/>
        <v>1005450</v>
      </c>
      <c r="AE106" s="347">
        <f t="shared" si="35"/>
        <v>1005450</v>
      </c>
      <c r="AF106" s="347">
        <f>SUM(AF103:AF105)</f>
        <v>1005450</v>
      </c>
      <c r="AG106" s="388">
        <f>SUM(U106:AF106)</f>
        <v>14798900</v>
      </c>
    </row>
    <row r="107" spans="18:33" ht="18" customHeight="1">
      <c r="R107" t="s">
        <v>229</v>
      </c>
      <c r="S107" t="s">
        <v>227</v>
      </c>
      <c r="U107" s="347">
        <v>263000</v>
      </c>
      <c r="V107" s="347">
        <v>263000</v>
      </c>
      <c r="W107" s="347">
        <v>263000</v>
      </c>
      <c r="X107" s="347">
        <v>263000</v>
      </c>
      <c r="Y107" s="347">
        <v>263000</v>
      </c>
      <c r="Z107" s="347">
        <v>263000</v>
      </c>
      <c r="AA107" s="347">
        <v>263000</v>
      </c>
      <c r="AB107" s="347">
        <v>263000</v>
      </c>
      <c r="AC107" s="347">
        <v>263000</v>
      </c>
      <c r="AD107" s="347">
        <v>263000</v>
      </c>
      <c r="AE107" s="347">
        <v>263000</v>
      </c>
      <c r="AF107" s="347">
        <v>263000</v>
      </c>
      <c r="AG107" s="347">
        <f>SUM(U107:AF107)</f>
        <v>3156000</v>
      </c>
    </row>
    <row r="108" spans="18:33" ht="18" customHeight="1">
      <c r="R108" t="s">
        <v>230</v>
      </c>
      <c r="S108"/>
      <c r="AG108" s="347"/>
    </row>
    <row r="109" spans="18:33" ht="18" customHeight="1">
      <c r="R109" t="s">
        <v>231</v>
      </c>
      <c r="S109" t="s">
        <v>232</v>
      </c>
      <c r="U109" s="347">
        <v>75600</v>
      </c>
      <c r="AG109" s="347">
        <f>SUM(U109:AF109)</f>
        <v>75600</v>
      </c>
    </row>
    <row r="110" spans="18:33" ht="18" customHeight="1">
      <c r="R110"/>
      <c r="S110" t="s">
        <v>233</v>
      </c>
    </row>
    <row r="111" spans="18:33" ht="18">
      <c r="R111"/>
      <c r="S111" t="s">
        <v>234</v>
      </c>
    </row>
    <row r="112" spans="18:33" ht="18">
      <c r="R112" s="332" t="s">
        <v>215</v>
      </c>
      <c r="S112" s="332" t="s">
        <v>214</v>
      </c>
      <c r="U112" s="347">
        <v>0</v>
      </c>
      <c r="V112" s="347">
        <v>0</v>
      </c>
      <c r="W112" s="347">
        <v>0</v>
      </c>
      <c r="X112" s="347">
        <v>91200</v>
      </c>
      <c r="Y112" s="347">
        <v>91200</v>
      </c>
      <c r="Z112" s="347">
        <v>91200</v>
      </c>
      <c r="AA112" s="347">
        <v>91200</v>
      </c>
      <c r="AB112" s="347">
        <v>91200</v>
      </c>
      <c r="AC112" s="347">
        <v>91200</v>
      </c>
      <c r="AD112" s="347">
        <v>91200</v>
      </c>
      <c r="AE112" s="347">
        <v>91200</v>
      </c>
      <c r="AF112" s="347">
        <v>91200</v>
      </c>
      <c r="AG112" s="347">
        <f>SUM(T112:AF112)</f>
        <v>820800</v>
      </c>
    </row>
    <row r="113" spans="18:34" ht="18">
      <c r="R113" s="332" t="s">
        <v>218</v>
      </c>
      <c r="S113" s="332" t="s">
        <v>214</v>
      </c>
      <c r="U113" s="347">
        <v>0</v>
      </c>
      <c r="V113" s="347">
        <v>700000</v>
      </c>
      <c r="W113" s="347">
        <v>700000</v>
      </c>
      <c r="X113" s="347">
        <v>700000</v>
      </c>
      <c r="Y113" s="347">
        <v>700000</v>
      </c>
      <c r="Z113" s="347">
        <v>800000</v>
      </c>
      <c r="AA113" s="347">
        <v>800000</v>
      </c>
      <c r="AB113" s="347">
        <v>800000</v>
      </c>
      <c r="AC113" s="347">
        <v>800000</v>
      </c>
      <c r="AD113" s="347">
        <v>800000</v>
      </c>
      <c r="AE113" s="347">
        <v>800000</v>
      </c>
      <c r="AF113" s="347">
        <v>800000</v>
      </c>
      <c r="AG113" s="347">
        <f>SUM(T113:AF113)</f>
        <v>8400000</v>
      </c>
    </row>
    <row r="114" spans="18:34" ht="18">
      <c r="AG114" s="347"/>
    </row>
    <row r="115" spans="18:34" ht="18">
      <c r="S115" s="332" t="s">
        <v>216</v>
      </c>
      <c r="U115" s="347">
        <v>0</v>
      </c>
      <c r="V115" s="347">
        <v>0</v>
      </c>
      <c r="W115" s="347">
        <v>0</v>
      </c>
      <c r="X115" s="347">
        <v>19200</v>
      </c>
      <c r="Y115" s="347">
        <v>19200</v>
      </c>
      <c r="Z115" s="347">
        <v>19200</v>
      </c>
      <c r="AA115" s="347">
        <v>19200</v>
      </c>
      <c r="AB115" s="347">
        <v>19200</v>
      </c>
      <c r="AC115" s="347">
        <v>19200</v>
      </c>
      <c r="AD115" s="347">
        <v>19200</v>
      </c>
      <c r="AE115" s="347">
        <v>19200</v>
      </c>
      <c r="AF115" s="347">
        <v>19200</v>
      </c>
      <c r="AG115" s="347">
        <f>SUM(T115:AF115)</f>
        <v>172800</v>
      </c>
    </row>
    <row r="116" spans="18:34" ht="18">
      <c r="S116" s="332" t="s">
        <v>216</v>
      </c>
      <c r="U116" s="347">
        <v>0</v>
      </c>
      <c r="V116" s="347">
        <v>100000</v>
      </c>
      <c r="W116" s="347">
        <v>100000</v>
      </c>
      <c r="X116" s="347">
        <v>100000</v>
      </c>
      <c r="Y116" s="347">
        <v>100000</v>
      </c>
      <c r="Z116" s="347">
        <v>200000</v>
      </c>
      <c r="AA116" s="347">
        <v>200000</v>
      </c>
      <c r="AB116" s="347">
        <v>200000</v>
      </c>
      <c r="AC116" s="347">
        <v>200000</v>
      </c>
      <c r="AD116" s="347">
        <v>200000</v>
      </c>
      <c r="AE116" s="347">
        <v>200000</v>
      </c>
      <c r="AF116" s="347">
        <v>200000</v>
      </c>
      <c r="AG116" s="347">
        <f>SUM(T116:AF116)</f>
        <v>1800000</v>
      </c>
    </row>
    <row r="117" spans="18:34" ht="18">
      <c r="AG117" s="347"/>
    </row>
    <row r="118" spans="18:34" ht="18">
      <c r="S118" s="332" t="s">
        <v>217</v>
      </c>
      <c r="U118" s="347">
        <v>200000</v>
      </c>
      <c r="V118" s="347">
        <v>200000</v>
      </c>
      <c r="W118" s="347">
        <v>200000</v>
      </c>
      <c r="X118" s="347">
        <v>200000</v>
      </c>
      <c r="Y118" s="347">
        <v>200000</v>
      </c>
      <c r="Z118" s="347">
        <v>200000</v>
      </c>
      <c r="AA118" s="347">
        <v>200000</v>
      </c>
      <c r="AB118" s="347">
        <v>200000</v>
      </c>
      <c r="AC118" s="347">
        <v>200000</v>
      </c>
      <c r="AD118" s="347">
        <v>200000</v>
      </c>
      <c r="AE118" s="347">
        <v>200000</v>
      </c>
      <c r="AF118" s="347">
        <v>200000</v>
      </c>
      <c r="AG118" s="347">
        <f>SUM(U118:AF118)</f>
        <v>2400000</v>
      </c>
      <c r="AH118" s="347">
        <f>SUM(AG112:AG118)</f>
        <v>13593600</v>
      </c>
    </row>
    <row r="120" spans="18:34" ht="18">
      <c r="R120" s="332" t="s">
        <v>235</v>
      </c>
    </row>
    <row r="121" spans="18:34" ht="18">
      <c r="R121" s="332" t="s">
        <v>215</v>
      </c>
      <c r="S121" s="332" t="s">
        <v>214</v>
      </c>
      <c r="T121" s="332">
        <v>4000</v>
      </c>
      <c r="U121" s="347">
        <f>$T$121*$U$36</f>
        <v>0</v>
      </c>
      <c r="V121" s="347">
        <f>$T$121*$V$36</f>
        <v>0</v>
      </c>
      <c r="W121" s="347">
        <f>$T$121*$W$36</f>
        <v>0</v>
      </c>
      <c r="X121" s="347">
        <f>$T$121*$X$36</f>
        <v>96000</v>
      </c>
      <c r="Y121" s="347">
        <f>$T$121*$Y$36</f>
        <v>96000</v>
      </c>
      <c r="Z121" s="347">
        <f>$T$121*$Z$36</f>
        <v>96000</v>
      </c>
      <c r="AA121" s="347">
        <f>$T$121*$AA$36</f>
        <v>96000</v>
      </c>
      <c r="AB121" s="347">
        <f>$T$121*$AB$36</f>
        <v>96000</v>
      </c>
      <c r="AC121" s="347">
        <f>$T$121*$AC$36</f>
        <v>96000</v>
      </c>
      <c r="AD121" s="347">
        <f>$T$121*$AD$36</f>
        <v>96000</v>
      </c>
      <c r="AE121" s="347">
        <f>$T$121*$AE$36</f>
        <v>96000</v>
      </c>
      <c r="AF121" s="347">
        <f>$T$121*$AF$36</f>
        <v>96000</v>
      </c>
      <c r="AG121" s="347">
        <f>SUM(U121:AF121)</f>
        <v>864000</v>
      </c>
    </row>
    <row r="122" spans="18:34" ht="18">
      <c r="S122" s="332" t="s">
        <v>216</v>
      </c>
      <c r="T122" s="332">
        <v>3110</v>
      </c>
      <c r="U122" s="347">
        <f>$T122*$U$37</f>
        <v>0</v>
      </c>
      <c r="V122" s="347">
        <f>$T122*$V$37</f>
        <v>0</v>
      </c>
      <c r="W122" s="347">
        <f>$T$122*$W$37</f>
        <v>0</v>
      </c>
      <c r="X122" s="347">
        <f>$T$122*$X$37</f>
        <v>18660</v>
      </c>
      <c r="Y122" s="347">
        <f>$T$122*$Y$37</f>
        <v>18660</v>
      </c>
      <c r="Z122" s="347">
        <f>$T122*$Z$37</f>
        <v>18660</v>
      </c>
      <c r="AA122" s="347">
        <f>$T122*$Z$37</f>
        <v>18660</v>
      </c>
      <c r="AB122" s="347">
        <f>$T122*$Z$37</f>
        <v>18660</v>
      </c>
      <c r="AC122" s="347">
        <f>$T122*$Z$37</f>
        <v>18660</v>
      </c>
      <c r="AD122" s="347">
        <f t="shared" ref="AD122:AF122" si="36">$T122*$Z$37</f>
        <v>18660</v>
      </c>
      <c r="AE122" s="347">
        <f t="shared" si="36"/>
        <v>18660</v>
      </c>
      <c r="AF122" s="347">
        <f t="shared" si="36"/>
        <v>18660</v>
      </c>
      <c r="AG122" s="347">
        <f t="shared" ref="AG122:AG123" si="37">SUM(U122:AF122)</f>
        <v>167940</v>
      </c>
    </row>
    <row r="123" spans="18:34" ht="18">
      <c r="S123" s="332" t="s">
        <v>217</v>
      </c>
      <c r="T123" s="332">
        <v>7000</v>
      </c>
      <c r="U123" s="347">
        <f>$T$123*$U$38</f>
        <v>140000</v>
      </c>
      <c r="V123" s="347">
        <f>$T$123*$V$38</f>
        <v>140000</v>
      </c>
      <c r="W123" s="347">
        <f>$T123*$W$38</f>
        <v>140000</v>
      </c>
      <c r="X123" s="347">
        <f t="shared" ref="X123:AF123" si="38">$T123*$W$38</f>
        <v>140000</v>
      </c>
      <c r="Y123" s="347">
        <f t="shared" si="38"/>
        <v>140000</v>
      </c>
      <c r="Z123" s="347">
        <f t="shared" si="38"/>
        <v>140000</v>
      </c>
      <c r="AA123" s="347">
        <f t="shared" si="38"/>
        <v>140000</v>
      </c>
      <c r="AB123" s="347">
        <f t="shared" si="38"/>
        <v>140000</v>
      </c>
      <c r="AC123" s="347">
        <f t="shared" si="38"/>
        <v>140000</v>
      </c>
      <c r="AD123" s="347">
        <f t="shared" si="38"/>
        <v>140000</v>
      </c>
      <c r="AE123" s="347">
        <f t="shared" si="38"/>
        <v>140000</v>
      </c>
      <c r="AF123" s="347">
        <f t="shared" si="38"/>
        <v>140000</v>
      </c>
      <c r="AG123" s="347">
        <f t="shared" si="37"/>
        <v>1680000</v>
      </c>
    </row>
    <row r="124" spans="18:34" ht="18">
      <c r="R124" s="332" t="s">
        <v>218</v>
      </c>
      <c r="S124" s="332" t="s">
        <v>214</v>
      </c>
      <c r="U124" s="347">
        <f>$T$121*$U$39</f>
        <v>0</v>
      </c>
      <c r="V124" s="347">
        <f>$T$121*$V$39</f>
        <v>280000</v>
      </c>
      <c r="W124" s="347">
        <f>$T$121*$W$39</f>
        <v>280000</v>
      </c>
      <c r="X124" s="347">
        <f>$T$121*$X$39</f>
        <v>280000</v>
      </c>
      <c r="Y124" s="347">
        <f>$T$121*$Y$39</f>
        <v>280000</v>
      </c>
      <c r="Z124" s="347">
        <f>$T$121*$Z$39</f>
        <v>320000</v>
      </c>
      <c r="AA124" s="347">
        <f>$T$121*$AA$39</f>
        <v>320000</v>
      </c>
      <c r="AB124" s="347">
        <f>$T$121*$AB$39</f>
        <v>320000</v>
      </c>
      <c r="AC124" s="347">
        <f>$T$121*$AC$39</f>
        <v>320000</v>
      </c>
      <c r="AD124" s="347">
        <f>$T$121*$AD$39</f>
        <v>320000</v>
      </c>
      <c r="AE124" s="347">
        <f>$T$121*$AE$39</f>
        <v>320000</v>
      </c>
      <c r="AF124" s="347">
        <f>$T$121*$AF$39</f>
        <v>320000</v>
      </c>
      <c r="AG124" s="347">
        <f>SUM(U124:AF124)</f>
        <v>3360000</v>
      </c>
    </row>
    <row r="125" spans="18:34" ht="18">
      <c r="S125" s="332" t="s">
        <v>216</v>
      </c>
      <c r="T125" s="332">
        <v>3110</v>
      </c>
      <c r="U125" s="347">
        <f>$T125*$U$40</f>
        <v>0</v>
      </c>
      <c r="V125" s="347">
        <f>$T125*$V$40</f>
        <v>31100</v>
      </c>
      <c r="W125" s="347">
        <f>$T$122*$W$40</f>
        <v>31100</v>
      </c>
      <c r="X125" s="347">
        <f>$T$122*$X$40</f>
        <v>31100</v>
      </c>
      <c r="Y125" s="347">
        <f>$T$122*$Y$40</f>
        <v>31100</v>
      </c>
      <c r="Z125" s="347">
        <f>$T125*$Z$40</f>
        <v>62200</v>
      </c>
      <c r="AA125" s="347">
        <f>$T125*$Z$40</f>
        <v>62200</v>
      </c>
      <c r="AB125" s="347">
        <f>$T125*$Z$40</f>
        <v>62200</v>
      </c>
      <c r="AC125" s="347">
        <f>$T125*$Z$40</f>
        <v>62200</v>
      </c>
      <c r="AD125" s="347">
        <f>$T125*$Z$40</f>
        <v>62200</v>
      </c>
      <c r="AE125" s="347">
        <f>$T125*$Z$40</f>
        <v>62200</v>
      </c>
      <c r="AF125" s="347">
        <f>$T125*$Z$40</f>
        <v>62200</v>
      </c>
      <c r="AG125" s="347">
        <f>SUM(U125:AF125)</f>
        <v>559800</v>
      </c>
      <c r="AH125" s="347">
        <f>SUM(AG121:AG125)</f>
        <v>6631740</v>
      </c>
    </row>
    <row r="126" spans="18:34" ht="18"/>
    <row r="127" spans="18:34" ht="18">
      <c r="AF127" s="347">
        <f>AH127-AG127</f>
        <v>-2678340</v>
      </c>
      <c r="AG127" s="347">
        <f>SUM(AG121:AG124)</f>
        <v>6071940</v>
      </c>
      <c r="AH127" s="347">
        <f>AG112+AG115+AG118</f>
        <v>3393600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18CB-A61C-4AED-BFDD-3BEFD7BF5D88}">
  <sheetPr>
    <tabColor theme="4"/>
  </sheetPr>
  <dimension ref="A1:AP166"/>
  <sheetViews>
    <sheetView topLeftCell="K20" zoomScale="90" zoomScaleNormal="90" workbookViewId="0">
      <selection activeCell="K20" sqref="K20"/>
    </sheetView>
  </sheetViews>
  <sheetFormatPr defaultColWidth="8.75" defaultRowHeight="18"/>
  <cols>
    <col min="1" max="1" width="18.25" style="145" bestFit="1" customWidth="1"/>
    <col min="2" max="2" width="18.5" style="145" customWidth="1"/>
    <col min="3" max="3" width="18.75" style="145" bestFit="1" customWidth="1"/>
    <col min="4" max="4" width="9.125" style="145" bestFit="1" customWidth="1"/>
    <col min="5" max="5" width="8.75" style="145"/>
    <col min="6" max="6" width="11" style="145" bestFit="1" customWidth="1"/>
    <col min="7" max="7" width="8.875" style="145" bestFit="1" customWidth="1"/>
    <col min="8" max="8" width="13.25" style="145" customWidth="1"/>
    <col min="9" max="9" width="7.75" style="145" customWidth="1"/>
    <col min="10" max="21" width="10.125" style="145" customWidth="1"/>
    <col min="22" max="22" width="16.375" style="145" customWidth="1"/>
    <col min="23" max="23" width="10.625" style="145" bestFit="1" customWidth="1"/>
    <col min="24" max="25" width="12.375" style="190" customWidth="1"/>
    <col min="26" max="26" width="16.5" style="190" customWidth="1"/>
    <col min="27" max="37" width="11.375" style="190" customWidth="1"/>
    <col min="38" max="39" width="11.375" style="145" customWidth="1"/>
    <col min="40" max="40" width="8.75" style="145"/>
    <col min="41" max="41" width="11.75" style="145" bestFit="1" customWidth="1"/>
    <col min="42" max="16384" width="8.75" style="145"/>
  </cols>
  <sheetData>
    <row r="1" spans="1:22">
      <c r="C1" s="145" t="s">
        <v>236</v>
      </c>
      <c r="D1" s="145" t="s">
        <v>237</v>
      </c>
      <c r="F1" s="145">
        <v>235</v>
      </c>
    </row>
    <row r="2" spans="1:22">
      <c r="D2" s="145" t="s">
        <v>238</v>
      </c>
      <c r="F2" s="145">
        <v>100</v>
      </c>
    </row>
    <row r="3" spans="1:22">
      <c r="D3" s="145" t="s">
        <v>239</v>
      </c>
      <c r="F3" s="145">
        <v>10</v>
      </c>
    </row>
    <row r="4" spans="1:22">
      <c r="D4" s="145" t="s">
        <v>7</v>
      </c>
      <c r="F4" s="145">
        <v>50</v>
      </c>
    </row>
    <row r="5" spans="1:22">
      <c r="E5" s="145" t="s">
        <v>139</v>
      </c>
      <c r="F5" s="145">
        <f>SUM(F1:F4)</f>
        <v>395</v>
      </c>
    </row>
    <row r="6" spans="1:22">
      <c r="R6" s="145">
        <v>695</v>
      </c>
      <c r="S6" s="145">
        <v>50</v>
      </c>
    </row>
    <row r="7" spans="1:22">
      <c r="A7" s="145" t="s">
        <v>240</v>
      </c>
    </row>
    <row r="9" spans="1:22">
      <c r="A9" s="145" t="s">
        <v>241</v>
      </c>
      <c r="V9" s="146"/>
    </row>
    <row r="10" spans="1:22" ht="18.600000000000001" thickBot="1">
      <c r="A10" s="145" t="s">
        <v>242</v>
      </c>
      <c r="B10" s="145" t="s">
        <v>243</v>
      </c>
      <c r="C10" s="145" t="s">
        <v>244</v>
      </c>
      <c r="D10" s="145" t="s">
        <v>245</v>
      </c>
      <c r="E10" s="145" t="s">
        <v>246</v>
      </c>
      <c r="F10" s="145" t="s">
        <v>237</v>
      </c>
      <c r="G10" s="145" t="s">
        <v>247</v>
      </c>
      <c r="H10" s="145" t="s">
        <v>248</v>
      </c>
      <c r="I10" s="145" t="s">
        <v>7</v>
      </c>
      <c r="J10" s="145" t="s">
        <v>249</v>
      </c>
      <c r="K10" s="145" t="s">
        <v>250</v>
      </c>
      <c r="L10" s="145" t="s">
        <v>129</v>
      </c>
      <c r="M10" s="145" t="s">
        <v>130</v>
      </c>
      <c r="N10" s="145" t="s">
        <v>131</v>
      </c>
      <c r="O10" s="145" t="s">
        <v>132</v>
      </c>
      <c r="P10" s="145" t="s">
        <v>133</v>
      </c>
      <c r="Q10" s="145" t="s">
        <v>134</v>
      </c>
      <c r="R10" s="145" t="s">
        <v>135</v>
      </c>
      <c r="S10" s="145" t="s">
        <v>136</v>
      </c>
      <c r="T10" s="145" t="s">
        <v>137</v>
      </c>
      <c r="U10" s="145" t="s">
        <v>138</v>
      </c>
      <c r="V10" s="146" t="s">
        <v>251</v>
      </c>
    </row>
    <row r="11" spans="1:22" ht="18.600000000000001" thickTop="1">
      <c r="A11" s="147" t="s">
        <v>252</v>
      </c>
      <c r="B11" s="147" t="s">
        <v>253</v>
      </c>
      <c r="C11" s="147" t="s">
        <v>254</v>
      </c>
      <c r="D11" s="147">
        <v>0</v>
      </c>
      <c r="E11" s="148">
        <v>4030</v>
      </c>
      <c r="F11" s="149"/>
      <c r="G11" s="147"/>
      <c r="H11" s="147"/>
      <c r="I11" s="147"/>
      <c r="J11" s="147">
        <v>0</v>
      </c>
      <c r="K11" s="147">
        <v>0</v>
      </c>
      <c r="L11" s="147">
        <v>0</v>
      </c>
      <c r="M11" s="147">
        <v>0</v>
      </c>
      <c r="N11" s="147">
        <v>0</v>
      </c>
      <c r="O11" s="147">
        <v>0</v>
      </c>
      <c r="P11" s="147">
        <v>0</v>
      </c>
      <c r="Q11" s="147">
        <v>0</v>
      </c>
      <c r="R11" s="147">
        <v>0</v>
      </c>
      <c r="S11" s="147">
        <v>0</v>
      </c>
      <c r="T11" s="147">
        <v>0</v>
      </c>
      <c r="U11" s="147">
        <v>0</v>
      </c>
      <c r="V11" s="150">
        <f>$D11*$E11</f>
        <v>0</v>
      </c>
    </row>
    <row r="12" spans="1:22">
      <c r="A12" s="145" t="s">
        <v>252</v>
      </c>
      <c r="B12" s="145" t="s">
        <v>253</v>
      </c>
      <c r="C12" s="145" t="s">
        <v>255</v>
      </c>
      <c r="D12" s="145">
        <v>0</v>
      </c>
      <c r="E12" s="151">
        <v>4030</v>
      </c>
      <c r="F12" s="152"/>
      <c r="G12" s="153"/>
      <c r="H12" s="153"/>
      <c r="I12" s="153"/>
      <c r="J12" s="152">
        <v>0</v>
      </c>
      <c r="K12" s="152">
        <v>0</v>
      </c>
      <c r="L12" s="152">
        <v>0</v>
      </c>
      <c r="M12" s="152">
        <v>0</v>
      </c>
      <c r="N12" s="152">
        <v>0</v>
      </c>
      <c r="O12" s="152">
        <v>0</v>
      </c>
      <c r="P12" s="152">
        <v>0</v>
      </c>
      <c r="Q12" s="152">
        <v>0</v>
      </c>
      <c r="R12" s="152">
        <v>0</v>
      </c>
      <c r="S12" s="152">
        <v>0</v>
      </c>
      <c r="T12" s="152">
        <v>0</v>
      </c>
      <c r="U12" s="152">
        <v>0</v>
      </c>
      <c r="V12" s="154">
        <f t="shared" ref="V12:V21" si="0">$D12*$E12</f>
        <v>0</v>
      </c>
    </row>
    <row r="13" spans="1:22">
      <c r="A13" s="145" t="s">
        <v>256</v>
      </c>
      <c r="B13" s="145" t="s">
        <v>253</v>
      </c>
      <c r="C13" s="145" t="s">
        <v>257</v>
      </c>
      <c r="D13" s="145">
        <v>219</v>
      </c>
      <c r="E13" s="155">
        <v>4200</v>
      </c>
      <c r="F13" s="156"/>
      <c r="G13" s="157"/>
      <c r="H13" s="157"/>
      <c r="I13" s="157"/>
      <c r="J13" s="158">
        <v>219</v>
      </c>
      <c r="K13" s="158">
        <v>219</v>
      </c>
      <c r="L13" s="158">
        <v>219</v>
      </c>
      <c r="M13" s="158">
        <v>219</v>
      </c>
      <c r="N13" s="158">
        <v>219</v>
      </c>
      <c r="O13" s="158">
        <v>219</v>
      </c>
      <c r="P13" s="158">
        <v>219</v>
      </c>
      <c r="Q13" s="158">
        <v>219</v>
      </c>
      <c r="R13" s="158">
        <v>219</v>
      </c>
      <c r="S13" s="158">
        <v>219</v>
      </c>
      <c r="T13" s="158">
        <v>219</v>
      </c>
      <c r="U13" s="158">
        <v>219</v>
      </c>
      <c r="V13" s="154">
        <f t="shared" si="0"/>
        <v>919800</v>
      </c>
    </row>
    <row r="14" spans="1:22">
      <c r="A14" s="145" t="s">
        <v>258</v>
      </c>
      <c r="B14" s="145" t="s">
        <v>253</v>
      </c>
      <c r="C14" s="145" t="s">
        <v>205</v>
      </c>
      <c r="D14" s="145">
        <v>37</v>
      </c>
      <c r="E14" s="155">
        <v>6750</v>
      </c>
      <c r="F14" s="156"/>
      <c r="G14" s="157"/>
      <c r="H14" s="157"/>
      <c r="I14" s="157"/>
      <c r="J14" s="145">
        <v>37</v>
      </c>
      <c r="K14" s="145">
        <v>37</v>
      </c>
      <c r="L14" s="145">
        <v>37</v>
      </c>
      <c r="M14" s="145">
        <v>37</v>
      </c>
      <c r="N14" s="145">
        <v>37</v>
      </c>
      <c r="O14" s="145">
        <v>37</v>
      </c>
      <c r="P14" s="145">
        <v>37</v>
      </c>
      <c r="Q14" s="145">
        <v>37</v>
      </c>
      <c r="R14" s="145">
        <v>37</v>
      </c>
      <c r="S14" s="145">
        <v>37</v>
      </c>
      <c r="T14" s="145">
        <v>37</v>
      </c>
      <c r="U14" s="145">
        <v>37</v>
      </c>
      <c r="V14" s="154">
        <f t="shared" si="0"/>
        <v>249750</v>
      </c>
    </row>
    <row r="15" spans="1:22">
      <c r="A15" s="145" t="s">
        <v>258</v>
      </c>
      <c r="B15" s="145" t="s">
        <v>253</v>
      </c>
      <c r="C15" s="145" t="s">
        <v>259</v>
      </c>
      <c r="D15" s="145">
        <v>37</v>
      </c>
      <c r="E15" s="155">
        <v>600</v>
      </c>
      <c r="F15" s="156"/>
      <c r="G15" s="157"/>
      <c r="H15" s="157"/>
      <c r="I15" s="157"/>
      <c r="J15" s="145">
        <v>37</v>
      </c>
      <c r="K15" s="145">
        <v>37</v>
      </c>
      <c r="L15" s="145">
        <v>37</v>
      </c>
      <c r="M15" s="145">
        <v>37</v>
      </c>
      <c r="N15" s="145">
        <v>37</v>
      </c>
      <c r="O15" s="145">
        <v>37</v>
      </c>
      <c r="P15" s="145">
        <v>37</v>
      </c>
      <c r="Q15" s="145">
        <v>37</v>
      </c>
      <c r="R15" s="145">
        <v>37</v>
      </c>
      <c r="S15" s="145">
        <v>37</v>
      </c>
      <c r="T15" s="145">
        <v>37</v>
      </c>
      <c r="U15" s="145">
        <v>37</v>
      </c>
      <c r="V15" s="154">
        <f t="shared" si="0"/>
        <v>22200</v>
      </c>
    </row>
    <row r="16" spans="1:22">
      <c r="A16" s="145" t="s">
        <v>258</v>
      </c>
      <c r="B16" s="145" t="s">
        <v>253</v>
      </c>
      <c r="C16" s="145" t="s">
        <v>260</v>
      </c>
      <c r="D16" s="145">
        <v>37</v>
      </c>
      <c r="E16" s="155">
        <v>590</v>
      </c>
      <c r="F16" s="156"/>
      <c r="G16" s="157"/>
      <c r="H16" s="157"/>
      <c r="I16" s="157"/>
      <c r="J16" s="145">
        <v>37</v>
      </c>
      <c r="K16" s="145">
        <v>37</v>
      </c>
      <c r="L16" s="145">
        <v>37</v>
      </c>
      <c r="M16" s="145">
        <v>37</v>
      </c>
      <c r="N16" s="145">
        <v>37</v>
      </c>
      <c r="O16" s="145">
        <v>37</v>
      </c>
      <c r="P16" s="145">
        <v>37</v>
      </c>
      <c r="Q16" s="145">
        <v>37</v>
      </c>
      <c r="R16" s="145">
        <v>37</v>
      </c>
      <c r="S16" s="145">
        <v>37</v>
      </c>
      <c r="T16" s="145">
        <v>37</v>
      </c>
      <c r="U16" s="145">
        <v>37</v>
      </c>
      <c r="V16" s="154">
        <f t="shared" si="0"/>
        <v>21830</v>
      </c>
    </row>
    <row r="17" spans="1:24">
      <c r="A17" s="145" t="s">
        <v>258</v>
      </c>
      <c r="B17" s="145" t="s">
        <v>253</v>
      </c>
      <c r="C17" s="145" t="s">
        <v>261</v>
      </c>
      <c r="D17" s="145">
        <v>2</v>
      </c>
      <c r="E17" s="155">
        <v>5270</v>
      </c>
      <c r="F17" s="156"/>
      <c r="G17" s="157"/>
      <c r="H17" s="157"/>
      <c r="I17" s="157"/>
      <c r="J17" s="145">
        <v>2</v>
      </c>
      <c r="K17" s="145">
        <v>2</v>
      </c>
      <c r="L17" s="145">
        <v>2</v>
      </c>
      <c r="M17" s="145">
        <v>2</v>
      </c>
      <c r="N17" s="145">
        <v>2</v>
      </c>
      <c r="O17" s="145">
        <v>2</v>
      </c>
      <c r="P17" s="145">
        <v>2</v>
      </c>
      <c r="Q17" s="145">
        <v>2</v>
      </c>
      <c r="R17" s="145">
        <v>2</v>
      </c>
      <c r="S17" s="145">
        <v>2</v>
      </c>
      <c r="T17" s="145">
        <v>2</v>
      </c>
      <c r="U17" s="145">
        <v>2</v>
      </c>
      <c r="V17" s="154">
        <f t="shared" si="0"/>
        <v>10540</v>
      </c>
    </row>
    <row r="18" spans="1:24">
      <c r="A18" s="145" t="s">
        <v>258</v>
      </c>
      <c r="B18" s="145" t="s">
        <v>253</v>
      </c>
      <c r="C18" s="145" t="s">
        <v>262</v>
      </c>
      <c r="D18" s="145">
        <v>3</v>
      </c>
      <c r="E18" s="155">
        <v>3690</v>
      </c>
      <c r="F18" s="156"/>
      <c r="G18" s="157"/>
      <c r="H18" s="157"/>
      <c r="I18" s="157"/>
      <c r="J18" s="145">
        <v>3</v>
      </c>
      <c r="K18" s="145">
        <v>3</v>
      </c>
      <c r="L18" s="145">
        <v>3</v>
      </c>
      <c r="M18" s="145">
        <v>3</v>
      </c>
      <c r="N18" s="145">
        <v>3</v>
      </c>
      <c r="O18" s="145">
        <v>3</v>
      </c>
      <c r="P18" s="145">
        <v>3</v>
      </c>
      <c r="Q18" s="145">
        <v>3</v>
      </c>
      <c r="R18" s="145">
        <v>3</v>
      </c>
      <c r="S18" s="145">
        <v>3</v>
      </c>
      <c r="T18" s="145">
        <v>3</v>
      </c>
      <c r="U18" s="145">
        <v>3</v>
      </c>
      <c r="V18" s="154">
        <f t="shared" si="0"/>
        <v>11070</v>
      </c>
    </row>
    <row r="19" spans="1:24">
      <c r="A19" s="145" t="s">
        <v>258</v>
      </c>
      <c r="B19" s="145" t="s">
        <v>79</v>
      </c>
      <c r="C19" s="145" t="s">
        <v>263</v>
      </c>
      <c r="D19" s="145">
        <v>190</v>
      </c>
      <c r="E19" s="159">
        <v>3850</v>
      </c>
      <c r="F19" s="156"/>
      <c r="G19" s="157"/>
      <c r="H19" s="157"/>
      <c r="I19" s="157"/>
      <c r="J19" s="145">
        <v>190</v>
      </c>
      <c r="K19" s="145">
        <v>190</v>
      </c>
      <c r="L19" s="145">
        <v>190</v>
      </c>
      <c r="M19" s="145">
        <v>190</v>
      </c>
      <c r="N19" s="145">
        <v>190</v>
      </c>
      <c r="O19" s="145">
        <v>190</v>
      </c>
      <c r="P19" s="145">
        <v>190</v>
      </c>
      <c r="Q19" s="145">
        <v>190</v>
      </c>
      <c r="R19" s="145">
        <v>190</v>
      </c>
      <c r="S19" s="145">
        <v>190</v>
      </c>
      <c r="T19" s="145">
        <v>190</v>
      </c>
      <c r="U19" s="145">
        <v>190</v>
      </c>
      <c r="V19" s="154">
        <f t="shared" si="0"/>
        <v>731500</v>
      </c>
    </row>
    <row r="20" spans="1:24">
      <c r="A20" s="145" t="s">
        <v>258</v>
      </c>
      <c r="B20" s="145" t="s">
        <v>79</v>
      </c>
      <c r="C20" s="145" t="s">
        <v>264</v>
      </c>
      <c r="D20" s="160">
        <v>90</v>
      </c>
      <c r="E20" s="155">
        <v>4010</v>
      </c>
      <c r="J20" s="145">
        <v>90</v>
      </c>
      <c r="K20" s="145">
        <v>90</v>
      </c>
      <c r="L20" s="145">
        <v>90</v>
      </c>
      <c r="M20" s="145">
        <v>90</v>
      </c>
      <c r="N20" s="145">
        <v>90</v>
      </c>
      <c r="O20" s="145">
        <v>90</v>
      </c>
      <c r="P20" s="145">
        <v>90</v>
      </c>
      <c r="Q20" s="145">
        <v>90</v>
      </c>
      <c r="R20" s="145">
        <v>90</v>
      </c>
      <c r="S20" s="145">
        <v>90</v>
      </c>
      <c r="T20" s="145">
        <v>90</v>
      </c>
      <c r="U20" s="145">
        <v>90</v>
      </c>
      <c r="V20" s="154">
        <f t="shared" si="0"/>
        <v>360900</v>
      </c>
    </row>
    <row r="21" spans="1:24" ht="18.600000000000001" thickBot="1">
      <c r="A21" s="161" t="s">
        <v>258</v>
      </c>
      <c r="B21" s="161" t="s">
        <v>265</v>
      </c>
      <c r="C21" s="161" t="s">
        <v>266</v>
      </c>
      <c r="D21" s="162">
        <v>80</v>
      </c>
      <c r="E21" s="163">
        <v>4130</v>
      </c>
      <c r="F21" s="161"/>
      <c r="G21" s="161"/>
      <c r="H21" s="161"/>
      <c r="I21" s="161"/>
      <c r="J21" s="161">
        <v>80</v>
      </c>
      <c r="K21" s="161">
        <v>80</v>
      </c>
      <c r="L21" s="161">
        <v>80</v>
      </c>
      <c r="M21" s="161">
        <v>80</v>
      </c>
      <c r="N21" s="161">
        <v>80</v>
      </c>
      <c r="O21" s="161">
        <v>80</v>
      </c>
      <c r="P21" s="161">
        <v>80</v>
      </c>
      <c r="Q21" s="161">
        <v>80</v>
      </c>
      <c r="R21" s="161">
        <v>80</v>
      </c>
      <c r="S21" s="161">
        <v>80</v>
      </c>
      <c r="T21" s="161">
        <v>80</v>
      </c>
      <c r="U21" s="161">
        <v>80</v>
      </c>
      <c r="V21" s="164">
        <f t="shared" si="0"/>
        <v>330400</v>
      </c>
      <c r="W21" s="161"/>
      <c r="X21" s="192"/>
    </row>
    <row r="22" spans="1:24" ht="18.600000000000001" thickTop="1">
      <c r="A22" s="145" t="s">
        <v>267</v>
      </c>
      <c r="D22" s="158">
        <f>SUM(F22:I22)</f>
        <v>395</v>
      </c>
      <c r="E22" s="165">
        <v>5000</v>
      </c>
      <c r="F22" s="152">
        <v>235</v>
      </c>
      <c r="G22" s="145">
        <v>100</v>
      </c>
      <c r="H22" s="145">
        <v>10</v>
      </c>
      <c r="I22" s="145">
        <v>50</v>
      </c>
      <c r="J22" s="145">
        <v>395</v>
      </c>
      <c r="K22" s="145">
        <v>395</v>
      </c>
      <c r="L22" s="145">
        <v>395</v>
      </c>
      <c r="M22" s="145">
        <v>395</v>
      </c>
      <c r="N22" s="145">
        <v>395</v>
      </c>
      <c r="O22" s="145">
        <v>395</v>
      </c>
      <c r="P22" s="145">
        <v>395</v>
      </c>
      <c r="Q22" s="145">
        <v>395</v>
      </c>
      <c r="R22" s="145">
        <v>395</v>
      </c>
      <c r="S22" s="145">
        <v>395</v>
      </c>
      <c r="T22" s="145">
        <v>395</v>
      </c>
      <c r="U22" s="145">
        <v>395</v>
      </c>
      <c r="V22" s="154">
        <f>$D22*$E22</f>
        <v>1975000</v>
      </c>
    </row>
    <row r="23" spans="1:24">
      <c r="U23" s="145" t="s">
        <v>268</v>
      </c>
      <c r="V23" s="166">
        <f>SUM(V12:V22)</f>
        <v>4632990</v>
      </c>
    </row>
    <row r="24" spans="1:24">
      <c r="J24" s="158">
        <f t="shared" ref="J24:U24" si="1">SUM($V$11:$V$21)+J$22*$E$22</f>
        <v>4632990</v>
      </c>
      <c r="K24" s="158">
        <f t="shared" si="1"/>
        <v>4632990</v>
      </c>
      <c r="L24" s="158">
        <f t="shared" si="1"/>
        <v>4632990</v>
      </c>
      <c r="M24" s="158">
        <f t="shared" si="1"/>
        <v>4632990</v>
      </c>
      <c r="N24" s="158">
        <f t="shared" si="1"/>
        <v>4632990</v>
      </c>
      <c r="O24" s="158">
        <f t="shared" si="1"/>
        <v>4632990</v>
      </c>
      <c r="P24" s="158">
        <f t="shared" si="1"/>
        <v>4632990</v>
      </c>
      <c r="Q24" s="158">
        <f t="shared" si="1"/>
        <v>4632990</v>
      </c>
      <c r="R24" s="158">
        <f t="shared" si="1"/>
        <v>4632990</v>
      </c>
      <c r="S24" s="158">
        <f t="shared" si="1"/>
        <v>4632990</v>
      </c>
      <c r="T24" s="158">
        <f t="shared" si="1"/>
        <v>4632990</v>
      </c>
      <c r="U24" s="158">
        <f t="shared" si="1"/>
        <v>4632990</v>
      </c>
      <c r="V24" s="168">
        <v>4600000</v>
      </c>
    </row>
    <row r="25" spans="1:24">
      <c r="J25" s="173">
        <v>4700000</v>
      </c>
      <c r="K25" s="173">
        <v>4700000</v>
      </c>
      <c r="L25" s="173">
        <v>4700000</v>
      </c>
      <c r="M25" s="173">
        <v>4700000</v>
      </c>
      <c r="N25" s="173">
        <v>4700000</v>
      </c>
      <c r="O25" s="173">
        <v>4700000</v>
      </c>
      <c r="P25" s="173">
        <v>4700000</v>
      </c>
      <c r="Q25" s="173">
        <v>4700000</v>
      </c>
      <c r="R25" s="173">
        <v>4700000</v>
      </c>
      <c r="S25" s="173">
        <v>4700000</v>
      </c>
      <c r="T25" s="173">
        <v>4700000</v>
      </c>
      <c r="U25" s="173">
        <v>4700000</v>
      </c>
      <c r="V25" s="168">
        <f>SUM(J25:U25)</f>
        <v>56400000</v>
      </c>
    </row>
    <row r="26" spans="1:24"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</row>
    <row r="27" spans="1:24">
      <c r="A27" s="145" t="s">
        <v>269</v>
      </c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</row>
    <row r="29" spans="1:24">
      <c r="A29" s="145" t="s">
        <v>241</v>
      </c>
      <c r="V29" s="146"/>
    </row>
    <row r="30" spans="1:24" ht="18.600000000000001" thickBot="1">
      <c r="A30" s="145" t="s">
        <v>242</v>
      </c>
      <c r="B30" s="145" t="s">
        <v>243</v>
      </c>
      <c r="C30" s="145" t="s">
        <v>244</v>
      </c>
      <c r="D30" s="145" t="s">
        <v>245</v>
      </c>
      <c r="E30" s="145" t="s">
        <v>246</v>
      </c>
      <c r="F30" s="145" t="s">
        <v>237</v>
      </c>
      <c r="G30" s="145" t="s">
        <v>247</v>
      </c>
      <c r="H30" s="145" t="s">
        <v>248</v>
      </c>
      <c r="I30" s="145" t="s">
        <v>7</v>
      </c>
      <c r="J30" s="145" t="s">
        <v>249</v>
      </c>
      <c r="K30" s="145" t="s">
        <v>250</v>
      </c>
      <c r="L30" s="145" t="s">
        <v>129</v>
      </c>
      <c r="M30" s="145" t="s">
        <v>130</v>
      </c>
      <c r="N30" s="145" t="s">
        <v>131</v>
      </c>
      <c r="O30" s="145" t="s">
        <v>132</v>
      </c>
      <c r="P30" s="145" t="s">
        <v>133</v>
      </c>
      <c r="Q30" s="145" t="s">
        <v>134</v>
      </c>
      <c r="R30" s="145" t="s">
        <v>135</v>
      </c>
      <c r="S30" s="145" t="s">
        <v>136</v>
      </c>
      <c r="T30" s="145" t="s">
        <v>137</v>
      </c>
      <c r="U30" s="145" t="s">
        <v>138</v>
      </c>
      <c r="V30" s="146" t="s">
        <v>251</v>
      </c>
    </row>
    <row r="31" spans="1:24" ht="18.600000000000001" thickTop="1">
      <c r="A31" s="147" t="s">
        <v>252</v>
      </c>
      <c r="B31" s="147" t="s">
        <v>253</v>
      </c>
      <c r="C31" s="147" t="s">
        <v>254</v>
      </c>
      <c r="D31" s="147">
        <v>0</v>
      </c>
      <c r="E31" s="148">
        <v>4030</v>
      </c>
      <c r="F31" s="149"/>
      <c r="G31" s="147"/>
      <c r="H31" s="147"/>
      <c r="I31" s="147"/>
      <c r="J31" s="147">
        <v>0</v>
      </c>
      <c r="K31" s="147">
        <v>0</v>
      </c>
      <c r="L31" s="147">
        <v>0</v>
      </c>
      <c r="M31" s="147">
        <v>0</v>
      </c>
      <c r="N31" s="147">
        <v>0</v>
      </c>
      <c r="O31" s="147">
        <v>0</v>
      </c>
      <c r="P31" s="147">
        <v>0</v>
      </c>
      <c r="Q31" s="147">
        <v>0</v>
      </c>
      <c r="R31" s="147">
        <v>0</v>
      </c>
      <c r="S31" s="147">
        <v>0</v>
      </c>
      <c r="T31" s="147">
        <v>0</v>
      </c>
      <c r="U31" s="147">
        <v>0</v>
      </c>
      <c r="V31" s="150">
        <f>$D31*$E31</f>
        <v>0</v>
      </c>
    </row>
    <row r="32" spans="1:24">
      <c r="A32" s="145" t="s">
        <v>252</v>
      </c>
      <c r="B32" s="145" t="s">
        <v>253</v>
      </c>
      <c r="C32" s="145" t="s">
        <v>255</v>
      </c>
      <c r="D32" s="145">
        <v>0</v>
      </c>
      <c r="E32" s="151">
        <v>4030</v>
      </c>
      <c r="F32" s="152"/>
      <c r="G32" s="153"/>
      <c r="H32" s="153"/>
      <c r="I32" s="153"/>
      <c r="J32" s="152">
        <v>0</v>
      </c>
      <c r="K32" s="152">
        <v>0</v>
      </c>
      <c r="L32" s="152">
        <v>0</v>
      </c>
      <c r="M32" s="152">
        <v>0</v>
      </c>
      <c r="N32" s="152">
        <v>0</v>
      </c>
      <c r="O32" s="152">
        <v>0</v>
      </c>
      <c r="P32" s="152">
        <v>0</v>
      </c>
      <c r="Q32" s="152">
        <v>0</v>
      </c>
      <c r="R32" s="152">
        <v>0</v>
      </c>
      <c r="S32" s="152">
        <v>0</v>
      </c>
      <c r="T32" s="152">
        <v>0</v>
      </c>
      <c r="U32" s="152">
        <v>0</v>
      </c>
      <c r="V32" s="154">
        <f t="shared" ref="V32:V41" si="2">$D32*$E32</f>
        <v>0</v>
      </c>
    </row>
    <row r="33" spans="1:24">
      <c r="A33" s="145" t="s">
        <v>256</v>
      </c>
      <c r="B33" s="145" t="s">
        <v>253</v>
      </c>
      <c r="C33" s="145" t="s">
        <v>257</v>
      </c>
      <c r="D33" s="145">
        <v>219</v>
      </c>
      <c r="E33" s="155">
        <v>4200</v>
      </c>
      <c r="F33" s="156"/>
      <c r="G33" s="157"/>
      <c r="H33" s="157"/>
      <c r="I33" s="157"/>
      <c r="J33" s="158">
        <v>219</v>
      </c>
      <c r="K33" s="158">
        <v>219</v>
      </c>
      <c r="L33" s="158">
        <v>219</v>
      </c>
      <c r="M33" s="158">
        <v>219</v>
      </c>
      <c r="N33" s="158">
        <v>219</v>
      </c>
      <c r="O33" s="158">
        <v>219</v>
      </c>
      <c r="P33" s="158">
        <v>219</v>
      </c>
      <c r="Q33" s="158">
        <v>219</v>
      </c>
      <c r="R33" s="158">
        <v>219</v>
      </c>
      <c r="S33" s="158">
        <v>219</v>
      </c>
      <c r="T33" s="158">
        <v>219</v>
      </c>
      <c r="U33" s="158">
        <v>219</v>
      </c>
      <c r="V33" s="154">
        <f t="shared" si="2"/>
        <v>919800</v>
      </c>
    </row>
    <row r="34" spans="1:24">
      <c r="A34" s="145" t="s">
        <v>258</v>
      </c>
      <c r="B34" s="145" t="s">
        <v>253</v>
      </c>
      <c r="C34" s="145" t="s">
        <v>205</v>
      </c>
      <c r="D34" s="145">
        <v>37</v>
      </c>
      <c r="E34" s="155">
        <v>6750</v>
      </c>
      <c r="F34" s="156"/>
      <c r="G34" s="157"/>
      <c r="H34" s="157"/>
      <c r="I34" s="157"/>
      <c r="J34" s="145">
        <v>37</v>
      </c>
      <c r="K34" s="145">
        <v>37</v>
      </c>
      <c r="L34" s="145">
        <v>37</v>
      </c>
      <c r="M34" s="145">
        <v>37</v>
      </c>
      <c r="N34" s="145">
        <v>37</v>
      </c>
      <c r="O34" s="145">
        <v>37</v>
      </c>
      <c r="P34" s="145">
        <v>37</v>
      </c>
      <c r="Q34" s="145">
        <v>37</v>
      </c>
      <c r="R34" s="145">
        <v>37</v>
      </c>
      <c r="S34" s="145">
        <v>37</v>
      </c>
      <c r="T34" s="145">
        <v>37</v>
      </c>
      <c r="U34" s="145">
        <v>37</v>
      </c>
      <c r="V34" s="154">
        <f t="shared" si="2"/>
        <v>249750</v>
      </c>
    </row>
    <row r="35" spans="1:24">
      <c r="A35" s="145" t="s">
        <v>258</v>
      </c>
      <c r="B35" s="145" t="s">
        <v>253</v>
      </c>
      <c r="C35" s="145" t="s">
        <v>259</v>
      </c>
      <c r="D35" s="145">
        <v>37</v>
      </c>
      <c r="E35" s="155">
        <v>600</v>
      </c>
      <c r="F35" s="156"/>
      <c r="G35" s="157"/>
      <c r="H35" s="157"/>
      <c r="I35" s="157"/>
      <c r="J35" s="145">
        <v>37</v>
      </c>
      <c r="K35" s="145">
        <v>37</v>
      </c>
      <c r="L35" s="145">
        <v>37</v>
      </c>
      <c r="M35" s="145">
        <v>37</v>
      </c>
      <c r="N35" s="145">
        <v>37</v>
      </c>
      <c r="O35" s="145">
        <v>37</v>
      </c>
      <c r="P35" s="145">
        <v>37</v>
      </c>
      <c r="Q35" s="145">
        <v>37</v>
      </c>
      <c r="R35" s="145">
        <v>37</v>
      </c>
      <c r="S35" s="145">
        <v>37</v>
      </c>
      <c r="T35" s="145">
        <v>37</v>
      </c>
      <c r="U35" s="145">
        <v>37</v>
      </c>
      <c r="V35" s="154">
        <f t="shared" si="2"/>
        <v>22200</v>
      </c>
    </row>
    <row r="36" spans="1:24">
      <c r="A36" s="145" t="s">
        <v>258</v>
      </c>
      <c r="B36" s="145" t="s">
        <v>253</v>
      </c>
      <c r="C36" s="145" t="s">
        <v>260</v>
      </c>
      <c r="D36" s="145">
        <v>37</v>
      </c>
      <c r="E36" s="155">
        <v>590</v>
      </c>
      <c r="F36" s="156"/>
      <c r="G36" s="157"/>
      <c r="H36" s="157"/>
      <c r="I36" s="157"/>
      <c r="J36" s="145">
        <v>37</v>
      </c>
      <c r="K36" s="145">
        <v>37</v>
      </c>
      <c r="L36" s="145">
        <v>37</v>
      </c>
      <c r="M36" s="145">
        <v>37</v>
      </c>
      <c r="N36" s="145">
        <v>37</v>
      </c>
      <c r="O36" s="145">
        <v>37</v>
      </c>
      <c r="P36" s="145">
        <v>37</v>
      </c>
      <c r="Q36" s="145">
        <v>37</v>
      </c>
      <c r="R36" s="145">
        <v>37</v>
      </c>
      <c r="S36" s="145">
        <v>37</v>
      </c>
      <c r="T36" s="145">
        <v>37</v>
      </c>
      <c r="U36" s="145">
        <v>37</v>
      </c>
      <c r="V36" s="154">
        <f t="shared" si="2"/>
        <v>21830</v>
      </c>
    </row>
    <row r="37" spans="1:24">
      <c r="A37" s="145" t="s">
        <v>258</v>
      </c>
      <c r="B37" s="145" t="s">
        <v>253</v>
      </c>
      <c r="C37" s="145" t="s">
        <v>261</v>
      </c>
      <c r="D37" s="145">
        <v>2</v>
      </c>
      <c r="E37" s="155">
        <v>5270</v>
      </c>
      <c r="F37" s="156"/>
      <c r="G37" s="157"/>
      <c r="H37" s="157"/>
      <c r="I37" s="157"/>
      <c r="J37" s="145">
        <v>2</v>
      </c>
      <c r="K37" s="145">
        <v>2</v>
      </c>
      <c r="L37" s="145">
        <v>2</v>
      </c>
      <c r="M37" s="145">
        <v>2</v>
      </c>
      <c r="N37" s="145">
        <v>2</v>
      </c>
      <c r="O37" s="145">
        <v>2</v>
      </c>
      <c r="P37" s="145">
        <v>2</v>
      </c>
      <c r="Q37" s="145">
        <v>2</v>
      </c>
      <c r="R37" s="145">
        <v>2</v>
      </c>
      <c r="S37" s="145">
        <v>2</v>
      </c>
      <c r="T37" s="145">
        <v>2</v>
      </c>
      <c r="U37" s="145">
        <v>2</v>
      </c>
      <c r="V37" s="154">
        <f t="shared" si="2"/>
        <v>10540</v>
      </c>
    </row>
    <row r="38" spans="1:24">
      <c r="A38" s="145" t="s">
        <v>258</v>
      </c>
      <c r="B38" s="145" t="s">
        <v>253</v>
      </c>
      <c r="C38" s="145" t="s">
        <v>262</v>
      </c>
      <c r="D38" s="145">
        <v>3</v>
      </c>
      <c r="E38" s="155">
        <v>3690</v>
      </c>
      <c r="F38" s="156"/>
      <c r="G38" s="157"/>
      <c r="H38" s="157"/>
      <c r="I38" s="157"/>
      <c r="J38" s="145">
        <v>3</v>
      </c>
      <c r="K38" s="145">
        <v>3</v>
      </c>
      <c r="L38" s="145">
        <v>3</v>
      </c>
      <c r="M38" s="145">
        <v>3</v>
      </c>
      <c r="N38" s="145">
        <v>3</v>
      </c>
      <c r="O38" s="145">
        <v>3</v>
      </c>
      <c r="P38" s="145">
        <v>3</v>
      </c>
      <c r="Q38" s="145">
        <v>3</v>
      </c>
      <c r="R38" s="145">
        <v>3</v>
      </c>
      <c r="S38" s="145">
        <v>3</v>
      </c>
      <c r="T38" s="145">
        <v>3</v>
      </c>
      <c r="U38" s="145">
        <v>3</v>
      </c>
      <c r="V38" s="154">
        <f t="shared" si="2"/>
        <v>11070</v>
      </c>
    </row>
    <row r="39" spans="1:24">
      <c r="A39" s="145" t="s">
        <v>258</v>
      </c>
      <c r="B39" s="145" t="s">
        <v>79</v>
      </c>
      <c r="C39" s="145" t="s">
        <v>263</v>
      </c>
      <c r="D39" s="145">
        <v>190</v>
      </c>
      <c r="E39" s="159">
        <v>3850</v>
      </c>
      <c r="F39" s="156"/>
      <c r="G39" s="157"/>
      <c r="H39" s="157"/>
      <c r="I39" s="157"/>
      <c r="J39" s="145">
        <v>190</v>
      </c>
      <c r="K39" s="145">
        <v>190</v>
      </c>
      <c r="L39" s="145">
        <v>190</v>
      </c>
      <c r="M39" s="145">
        <v>190</v>
      </c>
      <c r="N39" s="145">
        <v>190</v>
      </c>
      <c r="O39" s="145">
        <v>190</v>
      </c>
      <c r="P39" s="145">
        <v>190</v>
      </c>
      <c r="Q39" s="145">
        <v>190</v>
      </c>
      <c r="R39" s="145">
        <v>190</v>
      </c>
      <c r="S39" s="145">
        <v>190</v>
      </c>
      <c r="T39" s="145">
        <v>190</v>
      </c>
      <c r="U39" s="145">
        <v>190</v>
      </c>
      <c r="V39" s="154">
        <f t="shared" si="2"/>
        <v>731500</v>
      </c>
    </row>
    <row r="40" spans="1:24">
      <c r="A40" s="145" t="s">
        <v>258</v>
      </c>
      <c r="B40" s="145" t="s">
        <v>79</v>
      </c>
      <c r="C40" s="145" t="s">
        <v>264</v>
      </c>
      <c r="D40" s="160">
        <v>90</v>
      </c>
      <c r="E40" s="155">
        <v>4010</v>
      </c>
      <c r="J40" s="145">
        <v>90</v>
      </c>
      <c r="K40" s="145">
        <v>90</v>
      </c>
      <c r="L40" s="145">
        <v>90</v>
      </c>
      <c r="M40" s="145">
        <v>90</v>
      </c>
      <c r="N40" s="145">
        <v>90</v>
      </c>
      <c r="O40" s="145">
        <v>90</v>
      </c>
      <c r="P40" s="145">
        <v>90</v>
      </c>
      <c r="Q40" s="145">
        <v>90</v>
      </c>
      <c r="R40" s="145">
        <v>90</v>
      </c>
      <c r="S40" s="145">
        <v>90</v>
      </c>
      <c r="T40" s="145">
        <v>90</v>
      </c>
      <c r="U40" s="145">
        <v>90</v>
      </c>
      <c r="V40" s="154">
        <f>$D40*$E40</f>
        <v>360900</v>
      </c>
    </row>
    <row r="41" spans="1:24" ht="18.600000000000001" thickBot="1">
      <c r="A41" s="161" t="s">
        <v>258</v>
      </c>
      <c r="B41" s="161" t="s">
        <v>265</v>
      </c>
      <c r="C41" s="161" t="s">
        <v>266</v>
      </c>
      <c r="D41" s="162">
        <v>80</v>
      </c>
      <c r="E41" s="163">
        <v>4130</v>
      </c>
      <c r="F41" s="161"/>
      <c r="G41" s="161"/>
      <c r="H41" s="161"/>
      <c r="I41" s="161"/>
      <c r="J41" s="161">
        <v>80</v>
      </c>
      <c r="K41" s="161">
        <v>80</v>
      </c>
      <c r="L41" s="161">
        <v>80</v>
      </c>
      <c r="M41" s="161">
        <v>80</v>
      </c>
      <c r="N41" s="161">
        <v>80</v>
      </c>
      <c r="O41" s="161">
        <v>80</v>
      </c>
      <c r="P41" s="161">
        <v>80</v>
      </c>
      <c r="Q41" s="161">
        <v>80</v>
      </c>
      <c r="R41" s="161">
        <v>80</v>
      </c>
      <c r="S41" s="161">
        <v>80</v>
      </c>
      <c r="T41" s="161">
        <v>80</v>
      </c>
      <c r="U41" s="161">
        <v>80</v>
      </c>
      <c r="V41" s="164">
        <f t="shared" si="2"/>
        <v>330400</v>
      </c>
      <c r="W41" s="161"/>
      <c r="X41" s="192"/>
    </row>
    <row r="42" spans="1:24" ht="18.600000000000001" thickTop="1">
      <c r="A42" s="145" t="s">
        <v>267</v>
      </c>
      <c r="D42" s="158">
        <f>SUM(F42:I42)</f>
        <v>395</v>
      </c>
      <c r="E42" s="191">
        <v>4500</v>
      </c>
      <c r="F42" s="152">
        <v>235</v>
      </c>
      <c r="G42" s="145">
        <v>100</v>
      </c>
      <c r="H42" s="145">
        <v>10</v>
      </c>
      <c r="I42" s="145">
        <v>50</v>
      </c>
      <c r="J42" s="145">
        <v>0</v>
      </c>
      <c r="K42" s="145">
        <v>100</v>
      </c>
      <c r="L42" s="145">
        <v>150</v>
      </c>
      <c r="M42" s="145">
        <v>190</v>
      </c>
      <c r="N42" s="145">
        <v>230</v>
      </c>
      <c r="O42" s="145">
        <v>270</v>
      </c>
      <c r="P42" s="145">
        <v>310</v>
      </c>
      <c r="Q42" s="145">
        <v>350</v>
      </c>
      <c r="R42" s="145">
        <v>380</v>
      </c>
      <c r="S42" s="145">
        <v>395</v>
      </c>
      <c r="T42" s="145">
        <v>395</v>
      </c>
      <c r="U42" s="145">
        <v>395</v>
      </c>
      <c r="V42" s="154">
        <f>$D42*$E42</f>
        <v>1777500</v>
      </c>
    </row>
    <row r="43" spans="1:24">
      <c r="U43" s="145" t="s">
        <v>270</v>
      </c>
      <c r="V43" s="16">
        <f>SUM(V31:V42)</f>
        <v>4435490</v>
      </c>
      <c r="W43" s="190"/>
    </row>
    <row r="44" spans="1:24">
      <c r="U44" s="167" t="s">
        <v>271</v>
      </c>
      <c r="V44" s="169">
        <v>4600000</v>
      </c>
    </row>
    <row r="45" spans="1:24">
      <c r="V45" s="152"/>
    </row>
    <row r="46" spans="1:24">
      <c r="J46" s="170">
        <f>SUM($V$30:$V$41)+$E$42*J$42</f>
        <v>2657990</v>
      </c>
      <c r="K46" s="170">
        <f>SUM($V$30:$V$41)+$E$42*K$42</f>
        <v>3107990</v>
      </c>
      <c r="L46" s="170">
        <f t="shared" ref="L46:U46" si="3">SUM($V$30:$V$41)+$E$42*L$42</f>
        <v>3332990</v>
      </c>
      <c r="M46" s="170">
        <f t="shared" si="3"/>
        <v>3512990</v>
      </c>
      <c r="N46" s="170">
        <f t="shared" si="3"/>
        <v>3692990</v>
      </c>
      <c r="O46" s="170">
        <f>SUM($V$30:$V$41)+$E$42*O$42</f>
        <v>3872990</v>
      </c>
      <c r="P46" s="170">
        <f t="shared" si="3"/>
        <v>4052990</v>
      </c>
      <c r="Q46" s="170">
        <f t="shared" si="3"/>
        <v>4232990</v>
      </c>
      <c r="R46" s="170">
        <f t="shared" si="3"/>
        <v>4367990</v>
      </c>
      <c r="S46" s="170">
        <f t="shared" si="3"/>
        <v>4435490</v>
      </c>
      <c r="T46" s="170">
        <f t="shared" si="3"/>
        <v>4435490</v>
      </c>
      <c r="U46" s="170">
        <f t="shared" si="3"/>
        <v>4435490</v>
      </c>
      <c r="V46" s="152"/>
    </row>
    <row r="47" spans="1:24">
      <c r="J47" s="174">
        <v>2700000</v>
      </c>
      <c r="K47" s="174">
        <v>3200000</v>
      </c>
      <c r="L47" s="174">
        <v>3500000</v>
      </c>
      <c r="M47" s="174">
        <v>3700000</v>
      </c>
      <c r="N47" s="174">
        <v>3900000</v>
      </c>
      <c r="O47" s="174">
        <v>4100000</v>
      </c>
      <c r="P47" s="174">
        <v>4300000</v>
      </c>
      <c r="Q47" s="174">
        <v>4500000</v>
      </c>
      <c r="R47" s="174">
        <v>4600000</v>
      </c>
      <c r="S47" s="173">
        <v>4700000</v>
      </c>
      <c r="T47" s="173">
        <v>4700000</v>
      </c>
      <c r="U47" s="173">
        <v>4700000</v>
      </c>
      <c r="V47" s="169">
        <f>SUM(J47:U47)</f>
        <v>48600000</v>
      </c>
    </row>
    <row r="48" spans="1:24">
      <c r="V48" s="152"/>
    </row>
    <row r="50" spans="1:24">
      <c r="A50" s="145" t="s">
        <v>272</v>
      </c>
    </row>
    <row r="51" spans="1:24">
      <c r="J51" s="145" t="s">
        <v>249</v>
      </c>
      <c r="K51" s="145" t="s">
        <v>250</v>
      </c>
      <c r="L51" s="145" t="s">
        <v>129</v>
      </c>
      <c r="M51" s="145" t="s">
        <v>130</v>
      </c>
      <c r="N51" s="145" t="s">
        <v>131</v>
      </c>
      <c r="O51" s="145" t="s">
        <v>132</v>
      </c>
      <c r="P51" s="145" t="s">
        <v>133</v>
      </c>
      <c r="Q51" s="145" t="s">
        <v>134</v>
      </c>
      <c r="R51" s="145" t="s">
        <v>135</v>
      </c>
      <c r="S51" s="145" t="s">
        <v>136</v>
      </c>
      <c r="T51" s="145" t="s">
        <v>137</v>
      </c>
      <c r="U51" s="145" t="s">
        <v>138</v>
      </c>
      <c r="V51" s="145" t="s">
        <v>122</v>
      </c>
    </row>
    <row r="52" spans="1:24">
      <c r="H52" s="145" t="s">
        <v>273</v>
      </c>
      <c r="J52" s="171">
        <v>2559100</v>
      </c>
      <c r="K52" s="171">
        <v>2559100</v>
      </c>
      <c r="L52" s="171">
        <v>3059100</v>
      </c>
      <c r="M52" s="171">
        <v>3059100</v>
      </c>
      <c r="N52" s="171">
        <v>3059100</v>
      </c>
      <c r="O52" s="171">
        <v>3059100</v>
      </c>
      <c r="P52" s="171">
        <v>3059100</v>
      </c>
      <c r="Q52" s="171">
        <v>3059100</v>
      </c>
      <c r="R52" s="171">
        <v>3059100</v>
      </c>
      <c r="S52" s="171">
        <v>3059100</v>
      </c>
      <c r="T52" s="171">
        <v>3059100</v>
      </c>
      <c r="U52" s="171">
        <v>3059100</v>
      </c>
      <c r="V52" s="171">
        <f>SUM($J52:$U52)</f>
        <v>35709200</v>
      </c>
    </row>
    <row r="53" spans="1:24">
      <c r="H53" s="145" t="s">
        <v>274</v>
      </c>
      <c r="I53" s="145" t="s">
        <v>122</v>
      </c>
      <c r="J53" s="171">
        <f>SUM(J$54:J$56)</f>
        <v>2654910</v>
      </c>
      <c r="K53" s="171">
        <f t="shared" ref="K53:V53" si="4">SUM(K$54:K$56)</f>
        <v>2251159.9999999995</v>
      </c>
      <c r="L53" s="171">
        <f t="shared" si="4"/>
        <v>2540259.9999999995</v>
      </c>
      <c r="M53" s="171">
        <f t="shared" si="4"/>
        <v>2536040</v>
      </c>
      <c r="N53" s="171">
        <f t="shared" si="4"/>
        <v>2639239.9999999995</v>
      </c>
      <c r="O53" s="171">
        <f t="shared" si="4"/>
        <v>2638469.9999999995</v>
      </c>
      <c r="P53" s="171">
        <f t="shared" si="4"/>
        <v>2762369.9999999995</v>
      </c>
      <c r="Q53" s="171">
        <f t="shared" si="4"/>
        <v>2689009.9999999995</v>
      </c>
      <c r="R53" s="171">
        <f t="shared" si="4"/>
        <v>2689009.9999999995</v>
      </c>
      <c r="S53" s="171">
        <f t="shared" si="4"/>
        <v>2969710</v>
      </c>
      <c r="T53" s="171">
        <f t="shared" si="4"/>
        <v>2969710</v>
      </c>
      <c r="U53" s="171">
        <f t="shared" si="4"/>
        <v>2969710</v>
      </c>
      <c r="V53" s="171">
        <f t="shared" si="4"/>
        <v>32309600</v>
      </c>
    </row>
    <row r="54" spans="1:24">
      <c r="I54" s="145" t="s">
        <v>275</v>
      </c>
      <c r="J54" s="171">
        <f>2793351/1.1</f>
        <v>2539410</v>
      </c>
      <c r="K54" s="171">
        <f>1904551/1.1</f>
        <v>1731409.9999999998</v>
      </c>
      <c r="L54" s="171">
        <f>1904551/1.1</f>
        <v>1731409.9999999998</v>
      </c>
      <c r="M54" s="171">
        <f>1910689/1.1</f>
        <v>1736989.9999999998</v>
      </c>
      <c r="N54" s="171">
        <f>1871364/1.1</f>
        <v>1701239.9999999998</v>
      </c>
      <c r="O54" s="171">
        <f>1870517/1.1</f>
        <v>1700469.9999999998</v>
      </c>
      <c r="P54" s="171">
        <f>1870517/1.1</f>
        <v>1700469.9999999998</v>
      </c>
      <c r="Q54" s="171">
        <f>1789821/1.1</f>
        <v>1627109.9999999998</v>
      </c>
      <c r="R54" s="172">
        <f t="shared" ref="R54:U54" si="5">1789821/1.1</f>
        <v>1627109.9999999998</v>
      </c>
      <c r="S54" s="172">
        <f t="shared" si="5"/>
        <v>1627109.9999999998</v>
      </c>
      <c r="T54" s="172">
        <f t="shared" si="5"/>
        <v>1627109.9999999998</v>
      </c>
      <c r="U54" s="172">
        <f t="shared" si="5"/>
        <v>1627109.9999999998</v>
      </c>
      <c r="V54" s="172">
        <f>SUM($J54:$U54)</f>
        <v>20976950</v>
      </c>
    </row>
    <row r="55" spans="1:24">
      <c r="I55" s="145" t="s">
        <v>276</v>
      </c>
      <c r="J55" s="171">
        <f>127050/1.1</f>
        <v>115499.99999999999</v>
      </c>
      <c r="K55" s="171">
        <f>571725/1.1</f>
        <v>519749.99999999994</v>
      </c>
      <c r="L55" s="171">
        <f>571725/1.1</f>
        <v>519749.99999999994</v>
      </c>
      <c r="M55" s="171">
        <f>719950/1.1</f>
        <v>654500</v>
      </c>
      <c r="N55" s="171">
        <f>804650/1.1</f>
        <v>731499.99999999988</v>
      </c>
      <c r="O55" s="171">
        <f>804650/1.1</f>
        <v>731499.99999999988</v>
      </c>
      <c r="P55" s="171">
        <f>804650/1.1</f>
        <v>731499.99999999988</v>
      </c>
      <c r="Q55" s="171">
        <f>804650/1.1</f>
        <v>731499.99999999988</v>
      </c>
      <c r="R55" s="172">
        <f>804650/1.1</f>
        <v>731499.99999999988</v>
      </c>
      <c r="S55" s="172">
        <v>1012200</v>
      </c>
      <c r="T55" s="172">
        <v>1012200</v>
      </c>
      <c r="U55" s="172">
        <v>1012200</v>
      </c>
      <c r="V55" s="172">
        <f>SUM($J55:$U55)</f>
        <v>8503600</v>
      </c>
    </row>
    <row r="56" spans="1:24">
      <c r="I56" s="145" t="s">
        <v>277</v>
      </c>
      <c r="J56" s="171">
        <v>0</v>
      </c>
      <c r="K56" s="171">
        <v>0</v>
      </c>
      <c r="L56" s="171">
        <f>318010/1.1</f>
        <v>289100</v>
      </c>
      <c r="M56" s="171">
        <f>159005/1.1</f>
        <v>144550</v>
      </c>
      <c r="N56" s="171">
        <f>227150/1.1</f>
        <v>206499.99999999997</v>
      </c>
      <c r="O56" s="171">
        <f>227150/1.1</f>
        <v>206499.99999999997</v>
      </c>
      <c r="P56" s="171">
        <f t="shared" ref="P56:U56" si="6">363440/1.1</f>
        <v>330400</v>
      </c>
      <c r="Q56" s="171">
        <f t="shared" si="6"/>
        <v>330400</v>
      </c>
      <c r="R56" s="172">
        <f t="shared" si="6"/>
        <v>330400</v>
      </c>
      <c r="S56" s="172">
        <f t="shared" si="6"/>
        <v>330400</v>
      </c>
      <c r="T56" s="172">
        <f t="shared" si="6"/>
        <v>330400</v>
      </c>
      <c r="U56" s="172">
        <f t="shared" si="6"/>
        <v>330400</v>
      </c>
      <c r="V56" s="172">
        <f>SUM($J56:$U56)</f>
        <v>2829050</v>
      </c>
    </row>
    <row r="57" spans="1:24">
      <c r="H57" s="145" t="s">
        <v>278</v>
      </c>
      <c r="J57" s="171">
        <f>J$53-J$52</f>
        <v>95810</v>
      </c>
      <c r="K57" s="171">
        <f t="shared" ref="K57:U57" si="7">K$53-K$52</f>
        <v>-307940.00000000047</v>
      </c>
      <c r="L57" s="171">
        <f t="shared" si="7"/>
        <v>-518840.00000000047</v>
      </c>
      <c r="M57" s="171">
        <f t="shared" si="7"/>
        <v>-523060</v>
      </c>
      <c r="N57" s="171">
        <f t="shared" si="7"/>
        <v>-419860.00000000047</v>
      </c>
      <c r="O57" s="171">
        <f t="shared" si="7"/>
        <v>-420630.00000000047</v>
      </c>
      <c r="P57" s="171">
        <f t="shared" si="7"/>
        <v>-296730.00000000047</v>
      </c>
      <c r="Q57" s="171">
        <f t="shared" si="7"/>
        <v>-370090.00000000047</v>
      </c>
      <c r="R57" s="172">
        <f t="shared" si="7"/>
        <v>-370090.00000000047</v>
      </c>
      <c r="S57" s="172">
        <f t="shared" si="7"/>
        <v>-89390</v>
      </c>
      <c r="T57" s="172">
        <f t="shared" si="7"/>
        <v>-89390</v>
      </c>
      <c r="U57" s="172">
        <f t="shared" si="7"/>
        <v>-89390</v>
      </c>
      <c r="V57" s="172">
        <f>V$53-V$52</f>
        <v>-3399600</v>
      </c>
    </row>
    <row r="61" spans="1:24">
      <c r="H61" s="145" t="s">
        <v>279</v>
      </c>
      <c r="J61" s="145" t="s">
        <v>249</v>
      </c>
      <c r="K61" s="145" t="s">
        <v>250</v>
      </c>
      <c r="L61" s="145" t="s">
        <v>129</v>
      </c>
      <c r="M61" s="145" t="s">
        <v>130</v>
      </c>
      <c r="N61" s="145" t="s">
        <v>131</v>
      </c>
      <c r="O61" s="145" t="s">
        <v>132</v>
      </c>
      <c r="P61" s="145" t="s">
        <v>133</v>
      </c>
      <c r="Q61" s="145" t="s">
        <v>134</v>
      </c>
      <c r="R61" s="145" t="s">
        <v>135</v>
      </c>
      <c r="S61" s="145" t="s">
        <v>136</v>
      </c>
      <c r="T61" s="145" t="s">
        <v>137</v>
      </c>
      <c r="U61" s="145" t="s">
        <v>138</v>
      </c>
      <c r="X61" s="193" t="s">
        <v>280</v>
      </c>
    </row>
    <row r="62" spans="1:24">
      <c r="I62" s="145" t="s">
        <v>263</v>
      </c>
      <c r="J62" s="145">
        <v>0</v>
      </c>
      <c r="K62" s="145">
        <v>0</v>
      </c>
      <c r="L62" s="145">
        <v>35</v>
      </c>
      <c r="M62" s="145">
        <v>35</v>
      </c>
      <c r="N62" s="145">
        <v>55</v>
      </c>
      <c r="O62" s="145">
        <v>55</v>
      </c>
      <c r="P62" s="145">
        <v>55</v>
      </c>
      <c r="Q62" s="145">
        <v>55</v>
      </c>
      <c r="R62" s="145">
        <v>55</v>
      </c>
      <c r="S62" s="145">
        <v>55</v>
      </c>
      <c r="T62" s="145">
        <v>55</v>
      </c>
      <c r="U62" s="145">
        <v>55</v>
      </c>
      <c r="X62" s="193">
        <v>135</v>
      </c>
    </row>
    <row r="63" spans="1:24">
      <c r="I63" s="145" t="s">
        <v>281</v>
      </c>
      <c r="J63" s="145">
        <v>0</v>
      </c>
      <c r="K63" s="145">
        <v>35</v>
      </c>
      <c r="L63" s="145">
        <v>35</v>
      </c>
      <c r="M63" s="145">
        <v>50</v>
      </c>
      <c r="N63" s="145">
        <v>50</v>
      </c>
      <c r="O63" s="145">
        <v>80</v>
      </c>
      <c r="P63" s="145">
        <v>80</v>
      </c>
      <c r="Q63" s="145">
        <v>80</v>
      </c>
      <c r="R63" s="145">
        <v>80</v>
      </c>
      <c r="S63" s="145">
        <v>80</v>
      </c>
      <c r="T63" s="145">
        <v>80</v>
      </c>
      <c r="U63" s="145">
        <v>80</v>
      </c>
    </row>
    <row r="64" spans="1:24">
      <c r="I64" s="145" t="s">
        <v>282</v>
      </c>
      <c r="J64" s="145">
        <v>0</v>
      </c>
      <c r="K64" s="145">
        <v>0</v>
      </c>
      <c r="L64" s="145">
        <v>0</v>
      </c>
      <c r="M64" s="145">
        <v>0</v>
      </c>
      <c r="N64" s="145">
        <v>0</v>
      </c>
      <c r="O64" s="145">
        <v>0</v>
      </c>
      <c r="P64" s="145">
        <v>50</v>
      </c>
      <c r="Q64" s="145">
        <v>50</v>
      </c>
      <c r="R64" s="145">
        <v>70</v>
      </c>
      <c r="S64" s="145">
        <v>70</v>
      </c>
      <c r="T64" s="145">
        <v>70</v>
      </c>
      <c r="U64" s="145">
        <v>70</v>
      </c>
    </row>
    <row r="65" spans="1:22">
      <c r="U65" s="145" t="s">
        <v>122</v>
      </c>
      <c r="V65" s="145">
        <f>SUM(U62:U64)</f>
        <v>205</v>
      </c>
    </row>
    <row r="66" spans="1:22">
      <c r="U66" s="145" t="s">
        <v>283</v>
      </c>
      <c r="V66" s="145">
        <v>225</v>
      </c>
    </row>
    <row r="67" spans="1:22">
      <c r="A67" s="145" t="s">
        <v>284</v>
      </c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</row>
    <row r="69" spans="1:22">
      <c r="A69" s="145" t="s">
        <v>241</v>
      </c>
      <c r="V69" s="146"/>
    </row>
    <row r="70" spans="1:22" ht="18.600000000000001" thickBot="1">
      <c r="A70" s="145" t="s">
        <v>242</v>
      </c>
      <c r="B70" s="145" t="s">
        <v>243</v>
      </c>
      <c r="C70" s="145" t="s">
        <v>244</v>
      </c>
      <c r="D70" s="145" t="s">
        <v>245</v>
      </c>
      <c r="E70" s="145" t="s">
        <v>246</v>
      </c>
      <c r="F70" s="145" t="s">
        <v>237</v>
      </c>
      <c r="G70" s="145" t="s">
        <v>247</v>
      </c>
      <c r="H70" s="145" t="s">
        <v>248</v>
      </c>
      <c r="I70" s="145" t="s">
        <v>7</v>
      </c>
      <c r="J70" s="145" t="s">
        <v>249</v>
      </c>
      <c r="K70" s="145" t="s">
        <v>250</v>
      </c>
      <c r="L70" s="145" t="s">
        <v>129</v>
      </c>
      <c r="M70" s="145" t="s">
        <v>130</v>
      </c>
      <c r="N70" s="145" t="s">
        <v>131</v>
      </c>
      <c r="O70" s="145" t="s">
        <v>132</v>
      </c>
      <c r="P70" s="145" t="s">
        <v>133</v>
      </c>
      <c r="Q70" s="145" t="s">
        <v>134</v>
      </c>
      <c r="R70" s="145" t="s">
        <v>135</v>
      </c>
      <c r="S70" s="145" t="s">
        <v>136</v>
      </c>
      <c r="T70" s="145" t="s">
        <v>137</v>
      </c>
      <c r="U70" s="145" t="s">
        <v>138</v>
      </c>
      <c r="V70" s="146" t="s">
        <v>251</v>
      </c>
    </row>
    <row r="71" spans="1:22" ht="18.600000000000001" thickTop="1">
      <c r="A71" s="147" t="s">
        <v>252</v>
      </c>
      <c r="B71" s="147" t="s">
        <v>253</v>
      </c>
      <c r="C71" s="147" t="s">
        <v>254</v>
      </c>
      <c r="D71" s="147">
        <v>0</v>
      </c>
      <c r="E71" s="148">
        <v>4030</v>
      </c>
      <c r="F71" s="149"/>
      <c r="G71" s="147"/>
      <c r="H71" s="147"/>
      <c r="I71" s="147"/>
      <c r="J71" s="147">
        <v>0</v>
      </c>
      <c r="K71" s="147">
        <v>0</v>
      </c>
      <c r="L71" s="147">
        <v>0</v>
      </c>
      <c r="M71" s="147">
        <v>0</v>
      </c>
      <c r="N71" s="147">
        <v>0</v>
      </c>
      <c r="O71" s="147">
        <v>0</v>
      </c>
      <c r="P71" s="147">
        <v>0</v>
      </c>
      <c r="Q71" s="147">
        <v>0</v>
      </c>
      <c r="R71" s="147">
        <v>0</v>
      </c>
      <c r="S71" s="147">
        <v>0</v>
      </c>
      <c r="T71" s="147">
        <v>0</v>
      </c>
      <c r="U71" s="147">
        <v>0</v>
      </c>
      <c r="V71" s="150">
        <f>$D71*$E71</f>
        <v>0</v>
      </c>
    </row>
    <row r="72" spans="1:22">
      <c r="A72" s="145" t="s">
        <v>252</v>
      </c>
      <c r="B72" s="145" t="s">
        <v>253</v>
      </c>
      <c r="C72" s="145" t="s">
        <v>255</v>
      </c>
      <c r="D72" s="145">
        <v>0</v>
      </c>
      <c r="E72" s="151">
        <v>4030</v>
      </c>
      <c r="F72" s="152"/>
      <c r="G72" s="153"/>
      <c r="H72" s="153"/>
      <c r="I72" s="153"/>
      <c r="J72" s="152">
        <v>0</v>
      </c>
      <c r="K72" s="152">
        <v>0</v>
      </c>
      <c r="L72" s="152">
        <v>0</v>
      </c>
      <c r="M72" s="152">
        <v>0</v>
      </c>
      <c r="N72" s="152">
        <v>0</v>
      </c>
      <c r="O72" s="152">
        <v>0</v>
      </c>
      <c r="P72" s="152">
        <v>0</v>
      </c>
      <c r="Q72" s="152">
        <v>0</v>
      </c>
      <c r="R72" s="152">
        <v>0</v>
      </c>
      <c r="S72" s="152">
        <v>0</v>
      </c>
      <c r="T72" s="152">
        <v>0</v>
      </c>
      <c r="U72" s="152">
        <v>0</v>
      </c>
      <c r="V72" s="154">
        <f t="shared" ref="V72:V81" si="8">$D72*$E72</f>
        <v>0</v>
      </c>
    </row>
    <row r="73" spans="1:22">
      <c r="A73" s="145" t="s">
        <v>256</v>
      </c>
      <c r="B73" s="145" t="s">
        <v>253</v>
      </c>
      <c r="C73" s="145" t="s">
        <v>257</v>
      </c>
      <c r="D73" s="145">
        <v>219</v>
      </c>
      <c r="E73" s="155">
        <v>4200</v>
      </c>
      <c r="F73" s="156"/>
      <c r="G73" s="157"/>
      <c r="H73" s="157"/>
      <c r="I73" s="157"/>
      <c r="J73" s="158">
        <v>219</v>
      </c>
      <c r="K73" s="158">
        <v>219</v>
      </c>
      <c r="L73" s="158">
        <v>219</v>
      </c>
      <c r="M73" s="158">
        <v>219</v>
      </c>
      <c r="N73" s="158">
        <v>219</v>
      </c>
      <c r="O73" s="158">
        <v>219</v>
      </c>
      <c r="P73" s="158">
        <v>219</v>
      </c>
      <c r="Q73" s="158">
        <v>219</v>
      </c>
      <c r="R73" s="158">
        <v>219</v>
      </c>
      <c r="S73" s="158">
        <v>219</v>
      </c>
      <c r="T73" s="158">
        <v>219</v>
      </c>
      <c r="U73" s="158">
        <v>219</v>
      </c>
      <c r="V73" s="154">
        <f t="shared" si="8"/>
        <v>919800</v>
      </c>
    </row>
    <row r="74" spans="1:22">
      <c r="A74" s="145" t="s">
        <v>258</v>
      </c>
      <c r="B74" s="145" t="s">
        <v>253</v>
      </c>
      <c r="C74" s="145" t="s">
        <v>205</v>
      </c>
      <c r="D74" s="145">
        <v>37</v>
      </c>
      <c r="E74" s="155">
        <v>6750</v>
      </c>
      <c r="F74" s="156"/>
      <c r="G74" s="157"/>
      <c r="H74" s="157"/>
      <c r="I74" s="157"/>
      <c r="J74" s="145">
        <v>37</v>
      </c>
      <c r="K74" s="145">
        <v>37</v>
      </c>
      <c r="L74" s="145">
        <v>37</v>
      </c>
      <c r="M74" s="145">
        <v>37</v>
      </c>
      <c r="N74" s="145">
        <v>37</v>
      </c>
      <c r="O74" s="145">
        <v>37</v>
      </c>
      <c r="P74" s="145">
        <v>37</v>
      </c>
      <c r="Q74" s="145">
        <v>37</v>
      </c>
      <c r="R74" s="145">
        <v>37</v>
      </c>
      <c r="S74" s="145">
        <v>37</v>
      </c>
      <c r="T74" s="145">
        <v>37</v>
      </c>
      <c r="U74" s="145">
        <v>37</v>
      </c>
      <c r="V74" s="154">
        <f t="shared" si="8"/>
        <v>249750</v>
      </c>
    </row>
    <row r="75" spans="1:22">
      <c r="A75" s="145" t="s">
        <v>258</v>
      </c>
      <c r="B75" s="145" t="s">
        <v>253</v>
      </c>
      <c r="C75" s="145" t="s">
        <v>259</v>
      </c>
      <c r="D75" s="145">
        <v>37</v>
      </c>
      <c r="E75" s="155">
        <v>600</v>
      </c>
      <c r="F75" s="156"/>
      <c r="G75" s="157"/>
      <c r="H75" s="157"/>
      <c r="I75" s="157"/>
      <c r="J75" s="145">
        <v>37</v>
      </c>
      <c r="K75" s="145">
        <v>37</v>
      </c>
      <c r="L75" s="145">
        <v>37</v>
      </c>
      <c r="M75" s="145">
        <v>37</v>
      </c>
      <c r="N75" s="145">
        <v>37</v>
      </c>
      <c r="O75" s="145">
        <v>37</v>
      </c>
      <c r="P75" s="145">
        <v>37</v>
      </c>
      <c r="Q75" s="145">
        <v>37</v>
      </c>
      <c r="R75" s="145">
        <v>37</v>
      </c>
      <c r="S75" s="145">
        <v>37</v>
      </c>
      <c r="T75" s="145">
        <v>37</v>
      </c>
      <c r="U75" s="145">
        <v>37</v>
      </c>
      <c r="V75" s="154">
        <f t="shared" si="8"/>
        <v>22200</v>
      </c>
    </row>
    <row r="76" spans="1:22">
      <c r="A76" s="145" t="s">
        <v>258</v>
      </c>
      <c r="B76" s="145" t="s">
        <v>253</v>
      </c>
      <c r="C76" s="145" t="s">
        <v>260</v>
      </c>
      <c r="D76" s="145">
        <v>37</v>
      </c>
      <c r="E76" s="155">
        <v>590</v>
      </c>
      <c r="F76" s="156"/>
      <c r="G76" s="157"/>
      <c r="H76" s="157"/>
      <c r="I76" s="157"/>
      <c r="J76" s="145">
        <v>37</v>
      </c>
      <c r="K76" s="145">
        <v>37</v>
      </c>
      <c r="L76" s="145">
        <v>37</v>
      </c>
      <c r="M76" s="145">
        <v>37</v>
      </c>
      <c r="N76" s="145">
        <v>37</v>
      </c>
      <c r="O76" s="145">
        <v>37</v>
      </c>
      <c r="P76" s="145">
        <v>37</v>
      </c>
      <c r="Q76" s="145">
        <v>37</v>
      </c>
      <c r="R76" s="145">
        <v>37</v>
      </c>
      <c r="S76" s="145">
        <v>37</v>
      </c>
      <c r="T76" s="145">
        <v>37</v>
      </c>
      <c r="U76" s="145">
        <v>37</v>
      </c>
      <c r="V76" s="154">
        <f t="shared" si="8"/>
        <v>21830</v>
      </c>
    </row>
    <row r="77" spans="1:22">
      <c r="A77" s="145" t="s">
        <v>258</v>
      </c>
      <c r="B77" s="145" t="s">
        <v>253</v>
      </c>
      <c r="C77" s="145" t="s">
        <v>261</v>
      </c>
      <c r="D77" s="145">
        <v>2</v>
      </c>
      <c r="E77" s="155">
        <v>5270</v>
      </c>
      <c r="F77" s="156"/>
      <c r="G77" s="157"/>
      <c r="H77" s="157"/>
      <c r="I77" s="157"/>
      <c r="J77" s="145">
        <v>2</v>
      </c>
      <c r="K77" s="145">
        <v>2</v>
      </c>
      <c r="L77" s="145">
        <v>2</v>
      </c>
      <c r="M77" s="145">
        <v>2</v>
      </c>
      <c r="N77" s="145">
        <v>2</v>
      </c>
      <c r="O77" s="145">
        <v>2</v>
      </c>
      <c r="P77" s="145">
        <v>2</v>
      </c>
      <c r="Q77" s="145">
        <v>2</v>
      </c>
      <c r="R77" s="145">
        <v>2</v>
      </c>
      <c r="S77" s="145">
        <v>2</v>
      </c>
      <c r="T77" s="145">
        <v>2</v>
      </c>
      <c r="U77" s="145">
        <v>2</v>
      </c>
      <c r="V77" s="154">
        <f t="shared" si="8"/>
        <v>10540</v>
      </c>
    </row>
    <row r="78" spans="1:22">
      <c r="A78" s="145" t="s">
        <v>258</v>
      </c>
      <c r="B78" s="145" t="s">
        <v>253</v>
      </c>
      <c r="C78" s="145" t="s">
        <v>262</v>
      </c>
      <c r="D78" s="145">
        <v>3</v>
      </c>
      <c r="E78" s="155">
        <v>3690</v>
      </c>
      <c r="F78" s="156"/>
      <c r="G78" s="157"/>
      <c r="H78" s="157"/>
      <c r="I78" s="157"/>
      <c r="J78" s="145">
        <v>3</v>
      </c>
      <c r="K78" s="145">
        <v>3</v>
      </c>
      <c r="L78" s="145">
        <v>3</v>
      </c>
      <c r="M78" s="145">
        <v>3</v>
      </c>
      <c r="N78" s="145">
        <v>3</v>
      </c>
      <c r="O78" s="145">
        <v>3</v>
      </c>
      <c r="P78" s="145">
        <v>3</v>
      </c>
      <c r="Q78" s="145">
        <v>3</v>
      </c>
      <c r="R78" s="145">
        <v>3</v>
      </c>
      <c r="S78" s="145">
        <v>3</v>
      </c>
      <c r="T78" s="145">
        <v>3</v>
      </c>
      <c r="U78" s="145">
        <v>3</v>
      </c>
      <c r="V78" s="154">
        <f t="shared" si="8"/>
        <v>11070</v>
      </c>
    </row>
    <row r="79" spans="1:22">
      <c r="A79" s="145" t="s">
        <v>258</v>
      </c>
      <c r="B79" s="145" t="s">
        <v>79</v>
      </c>
      <c r="C79" s="145" t="s">
        <v>263</v>
      </c>
      <c r="D79" s="145">
        <v>190</v>
      </c>
      <c r="E79" s="159">
        <v>3850</v>
      </c>
      <c r="F79" s="156"/>
      <c r="G79" s="157"/>
      <c r="H79" s="157"/>
      <c r="I79" s="157"/>
      <c r="J79" s="145">
        <v>190</v>
      </c>
      <c r="K79" s="145">
        <v>190</v>
      </c>
      <c r="L79" s="145">
        <v>190</v>
      </c>
      <c r="M79" s="145">
        <v>190</v>
      </c>
      <c r="N79" s="145">
        <v>190</v>
      </c>
      <c r="O79" s="145">
        <v>190</v>
      </c>
      <c r="P79" s="145">
        <v>190</v>
      </c>
      <c r="Q79" s="145">
        <v>190</v>
      </c>
      <c r="R79" s="145">
        <v>190</v>
      </c>
      <c r="S79" s="145">
        <v>190</v>
      </c>
      <c r="T79" s="145">
        <v>190</v>
      </c>
      <c r="U79" s="145">
        <v>190</v>
      </c>
      <c r="V79" s="154">
        <f t="shared" si="8"/>
        <v>731500</v>
      </c>
    </row>
    <row r="80" spans="1:22">
      <c r="A80" s="145" t="s">
        <v>258</v>
      </c>
      <c r="B80" s="145" t="s">
        <v>79</v>
      </c>
      <c r="C80" s="145" t="s">
        <v>264</v>
      </c>
      <c r="D80" s="160">
        <v>90</v>
      </c>
      <c r="E80" s="155">
        <v>4010</v>
      </c>
      <c r="J80" s="145">
        <v>90</v>
      </c>
      <c r="K80" s="145">
        <v>90</v>
      </c>
      <c r="L80" s="145">
        <v>90</v>
      </c>
      <c r="M80" s="145">
        <v>90</v>
      </c>
      <c r="N80" s="145">
        <v>90</v>
      </c>
      <c r="O80" s="145">
        <v>90</v>
      </c>
      <c r="P80" s="145">
        <v>90</v>
      </c>
      <c r="Q80" s="145">
        <v>90</v>
      </c>
      <c r="R80" s="145">
        <v>90</v>
      </c>
      <c r="S80" s="145">
        <v>90</v>
      </c>
      <c r="T80" s="145">
        <v>90</v>
      </c>
      <c r="U80" s="145">
        <v>90</v>
      </c>
      <c r="V80" s="154">
        <f>$D80*$E80</f>
        <v>360900</v>
      </c>
    </row>
    <row r="81" spans="1:24" ht="18.600000000000001" thickBot="1">
      <c r="A81" s="161" t="s">
        <v>258</v>
      </c>
      <c r="B81" s="161" t="s">
        <v>265</v>
      </c>
      <c r="C81" s="161" t="s">
        <v>266</v>
      </c>
      <c r="D81" s="162">
        <v>80</v>
      </c>
      <c r="E81" s="163">
        <v>4130</v>
      </c>
      <c r="F81" s="161"/>
      <c r="G81" s="161"/>
      <c r="H81" s="161"/>
      <c r="I81" s="161"/>
      <c r="J81" s="161">
        <v>80</v>
      </c>
      <c r="K81" s="161">
        <v>80</v>
      </c>
      <c r="L81" s="161">
        <v>80</v>
      </c>
      <c r="M81" s="161">
        <v>80</v>
      </c>
      <c r="N81" s="161">
        <v>80</v>
      </c>
      <c r="O81" s="161">
        <v>80</v>
      </c>
      <c r="P81" s="161">
        <v>80</v>
      </c>
      <c r="Q81" s="161">
        <v>80</v>
      </c>
      <c r="R81" s="161">
        <v>80</v>
      </c>
      <c r="S81" s="161">
        <v>80</v>
      </c>
      <c r="T81" s="161">
        <v>80</v>
      </c>
      <c r="U81" s="161">
        <v>80</v>
      </c>
      <c r="V81" s="164">
        <f t="shared" si="8"/>
        <v>330400</v>
      </c>
      <c r="W81" s="161"/>
      <c r="X81" s="192"/>
    </row>
    <row r="82" spans="1:24" ht="18.600000000000001" thickTop="1">
      <c r="A82" s="145" t="s">
        <v>267</v>
      </c>
      <c r="D82" s="158">
        <f>SUM(F82:I82)</f>
        <v>395</v>
      </c>
      <c r="E82" s="165">
        <v>4500</v>
      </c>
      <c r="F82" s="152">
        <v>235</v>
      </c>
      <c r="G82" s="145">
        <v>100</v>
      </c>
      <c r="H82" s="145">
        <v>10</v>
      </c>
      <c r="I82" s="145">
        <v>50</v>
      </c>
      <c r="J82" s="145">
        <v>0</v>
      </c>
      <c r="K82" s="145">
        <v>100</v>
      </c>
      <c r="L82" s="145">
        <v>150</v>
      </c>
      <c r="M82" s="145">
        <v>190</v>
      </c>
      <c r="N82" s="145">
        <v>230</v>
      </c>
      <c r="O82" s="145">
        <v>270</v>
      </c>
      <c r="P82" s="145">
        <v>310</v>
      </c>
      <c r="Q82" s="145">
        <v>350</v>
      </c>
      <c r="R82" s="145">
        <v>380</v>
      </c>
      <c r="S82" s="145">
        <v>395</v>
      </c>
      <c r="T82" s="145">
        <v>395</v>
      </c>
      <c r="U82" s="145">
        <v>395</v>
      </c>
      <c r="V82" s="154">
        <f>$D82*$E82</f>
        <v>1777500</v>
      </c>
    </row>
    <row r="83" spans="1:24">
      <c r="U83" s="145" t="s">
        <v>270</v>
      </c>
      <c r="V83" s="152">
        <f>SUM(V71:V82)</f>
        <v>4435490</v>
      </c>
    </row>
    <row r="84" spans="1:24">
      <c r="U84" s="167" t="s">
        <v>271</v>
      </c>
      <c r="V84" s="169">
        <v>4500000</v>
      </c>
    </row>
    <row r="85" spans="1:24">
      <c r="V85" s="152"/>
    </row>
    <row r="86" spans="1:24">
      <c r="J86" s="170">
        <f>SUM($V$70:$V$81)+$E$82*J$82</f>
        <v>2657990</v>
      </c>
      <c r="K86" s="170">
        <f t="shared" ref="K86:U86" si="9">SUM($V$70:$V$81)+$E$82*K$82</f>
        <v>3107990</v>
      </c>
      <c r="L86" s="170">
        <f t="shared" si="9"/>
        <v>3332990</v>
      </c>
      <c r="M86" s="170">
        <f t="shared" si="9"/>
        <v>3512990</v>
      </c>
      <c r="N86" s="170">
        <f t="shared" si="9"/>
        <v>3692990</v>
      </c>
      <c r="O86" s="170">
        <f t="shared" si="9"/>
        <v>3872990</v>
      </c>
      <c r="P86" s="170">
        <f t="shared" si="9"/>
        <v>4052990</v>
      </c>
      <c r="Q86" s="170">
        <f t="shared" si="9"/>
        <v>4232990</v>
      </c>
      <c r="R86" s="170">
        <f t="shared" si="9"/>
        <v>4367990</v>
      </c>
      <c r="S86" s="170">
        <f t="shared" si="9"/>
        <v>4435490</v>
      </c>
      <c r="T86" s="170">
        <f t="shared" si="9"/>
        <v>4435490</v>
      </c>
      <c r="U86" s="170">
        <f t="shared" si="9"/>
        <v>4435490</v>
      </c>
      <c r="V86" s="152"/>
    </row>
    <row r="87" spans="1:24">
      <c r="J87" s="174">
        <v>2700000</v>
      </c>
      <c r="K87" s="174">
        <v>3200000</v>
      </c>
      <c r="L87" s="174">
        <v>3400000</v>
      </c>
      <c r="M87" s="174">
        <v>3600000</v>
      </c>
      <c r="N87" s="174">
        <v>3700000</v>
      </c>
      <c r="O87" s="174">
        <v>3900000</v>
      </c>
      <c r="P87" s="174">
        <v>4100000</v>
      </c>
      <c r="Q87" s="174">
        <v>4300000</v>
      </c>
      <c r="R87" s="174">
        <v>4400000</v>
      </c>
      <c r="S87" s="173">
        <v>4500000</v>
      </c>
      <c r="T87" s="173">
        <v>4500000</v>
      </c>
      <c r="U87" s="173">
        <v>4500000</v>
      </c>
      <c r="V87" s="169">
        <f>SUM(J87:U87)</f>
        <v>46800000</v>
      </c>
    </row>
    <row r="88" spans="1:24">
      <c r="V88" s="152"/>
    </row>
    <row r="90" spans="1:24">
      <c r="A90" s="145" t="s">
        <v>272</v>
      </c>
    </row>
    <row r="91" spans="1:24">
      <c r="J91" s="145" t="s">
        <v>249</v>
      </c>
      <c r="K91" s="145" t="s">
        <v>250</v>
      </c>
      <c r="L91" s="145" t="s">
        <v>129</v>
      </c>
      <c r="M91" s="145" t="s">
        <v>130</v>
      </c>
      <c r="N91" s="145" t="s">
        <v>131</v>
      </c>
      <c r="O91" s="145" t="s">
        <v>132</v>
      </c>
      <c r="P91" s="145" t="s">
        <v>133</v>
      </c>
      <c r="Q91" s="145" t="s">
        <v>134</v>
      </c>
      <c r="R91" s="145" t="s">
        <v>135</v>
      </c>
      <c r="S91" s="145" t="s">
        <v>136</v>
      </c>
      <c r="T91" s="145" t="s">
        <v>137</v>
      </c>
      <c r="U91" s="145" t="s">
        <v>138</v>
      </c>
      <c r="V91" s="145" t="s">
        <v>122</v>
      </c>
    </row>
    <row r="92" spans="1:24">
      <c r="H92" s="145" t="s">
        <v>273</v>
      </c>
      <c r="J92" s="171">
        <v>2559100</v>
      </c>
      <c r="K92" s="171">
        <v>2559100</v>
      </c>
      <c r="L92" s="171">
        <v>3059100</v>
      </c>
      <c r="M92" s="171">
        <v>3059100</v>
      </c>
      <c r="N92" s="171">
        <v>3059100</v>
      </c>
      <c r="O92" s="171">
        <v>3059100</v>
      </c>
      <c r="P92" s="171">
        <v>3059100</v>
      </c>
      <c r="Q92" s="171">
        <v>3059100</v>
      </c>
      <c r="R92" s="171">
        <v>3059100</v>
      </c>
      <c r="S92" s="171">
        <v>3059100</v>
      </c>
      <c r="T92" s="171">
        <v>3059100</v>
      </c>
      <c r="U92" s="171">
        <v>3059100</v>
      </c>
      <c r="V92" s="171">
        <f>SUM($J92:$U92)</f>
        <v>35709200</v>
      </c>
    </row>
    <row r="93" spans="1:24">
      <c r="H93" s="145" t="s">
        <v>274</v>
      </c>
      <c r="I93" s="145" t="s">
        <v>122</v>
      </c>
      <c r="J93" s="171">
        <f>SUM(J$54:J$56)</f>
        <v>2654910</v>
      </c>
      <c r="K93" s="171">
        <f t="shared" ref="K93:V93" si="10">SUM(K$54:K$56)</f>
        <v>2251159.9999999995</v>
      </c>
      <c r="L93" s="171">
        <f t="shared" si="10"/>
        <v>2540259.9999999995</v>
      </c>
      <c r="M93" s="171">
        <f t="shared" si="10"/>
        <v>2536040</v>
      </c>
      <c r="N93" s="171">
        <f t="shared" si="10"/>
        <v>2639239.9999999995</v>
      </c>
      <c r="O93" s="171">
        <f t="shared" si="10"/>
        <v>2638469.9999999995</v>
      </c>
      <c r="P93" s="171">
        <f t="shared" si="10"/>
        <v>2762369.9999999995</v>
      </c>
      <c r="Q93" s="171">
        <f t="shared" si="10"/>
        <v>2689009.9999999995</v>
      </c>
      <c r="R93" s="171">
        <f t="shared" si="10"/>
        <v>2689009.9999999995</v>
      </c>
      <c r="S93" s="171">
        <f t="shared" si="10"/>
        <v>2969710</v>
      </c>
      <c r="T93" s="171">
        <f t="shared" si="10"/>
        <v>2969710</v>
      </c>
      <c r="U93" s="171">
        <f t="shared" si="10"/>
        <v>2969710</v>
      </c>
      <c r="V93" s="171">
        <f t="shared" si="10"/>
        <v>32309600</v>
      </c>
    </row>
    <row r="94" spans="1:24">
      <c r="I94" s="145" t="s">
        <v>275</v>
      </c>
      <c r="J94" s="171">
        <f>2793351/1.1</f>
        <v>2539410</v>
      </c>
      <c r="K94" s="171">
        <f>1904551/1.1</f>
        <v>1731409.9999999998</v>
      </c>
      <c r="L94" s="171">
        <f>1904551/1.1</f>
        <v>1731409.9999999998</v>
      </c>
      <c r="M94" s="171">
        <f>1910689/1.1</f>
        <v>1736989.9999999998</v>
      </c>
      <c r="N94" s="171">
        <f>1871364/1.1</f>
        <v>1701239.9999999998</v>
      </c>
      <c r="O94" s="171">
        <f>1870517/1.1</f>
        <v>1700469.9999999998</v>
      </c>
      <c r="P94" s="171">
        <f>1870517/1.1</f>
        <v>1700469.9999999998</v>
      </c>
      <c r="Q94" s="171">
        <f>1789821/1.1</f>
        <v>1627109.9999999998</v>
      </c>
      <c r="R94" s="172">
        <f t="shared" ref="R94:U94" si="11">1789821/1.1</f>
        <v>1627109.9999999998</v>
      </c>
      <c r="S94" s="172">
        <f t="shared" si="11"/>
        <v>1627109.9999999998</v>
      </c>
      <c r="T94" s="172">
        <f t="shared" si="11"/>
        <v>1627109.9999999998</v>
      </c>
      <c r="U94" s="172">
        <f t="shared" si="11"/>
        <v>1627109.9999999998</v>
      </c>
      <c r="V94" s="172">
        <f>SUM($J94:$U94)</f>
        <v>20976950</v>
      </c>
    </row>
    <row r="95" spans="1:24">
      <c r="I95" s="145" t="s">
        <v>276</v>
      </c>
      <c r="J95" s="171">
        <f>127050/1.1</f>
        <v>115499.99999999999</v>
      </c>
      <c r="K95" s="171">
        <f>571725/1.1</f>
        <v>519749.99999999994</v>
      </c>
      <c r="L95" s="171">
        <f>571725/1.1</f>
        <v>519749.99999999994</v>
      </c>
      <c r="M95" s="171">
        <f>719950/1.1</f>
        <v>654500</v>
      </c>
      <c r="N95" s="171">
        <f>804650/1.1</f>
        <v>731499.99999999988</v>
      </c>
      <c r="O95" s="171">
        <f>804650/1.1</f>
        <v>731499.99999999988</v>
      </c>
      <c r="P95" s="171">
        <f>804650/1.1</f>
        <v>731499.99999999988</v>
      </c>
      <c r="Q95" s="171">
        <f>804650/1.1</f>
        <v>731499.99999999988</v>
      </c>
      <c r="R95" s="172">
        <f>804650/1.1</f>
        <v>731499.99999999988</v>
      </c>
      <c r="S95" s="172">
        <v>1012200</v>
      </c>
      <c r="T95" s="172">
        <v>1012200</v>
      </c>
      <c r="U95" s="172">
        <v>1012200</v>
      </c>
      <c r="V95" s="172">
        <f>SUM($J95:$U95)</f>
        <v>8503600</v>
      </c>
    </row>
    <row r="96" spans="1:24">
      <c r="I96" s="145" t="s">
        <v>277</v>
      </c>
      <c r="J96" s="171">
        <v>0</v>
      </c>
      <c r="K96" s="171">
        <v>0</v>
      </c>
      <c r="L96" s="171">
        <f>318010/1.1</f>
        <v>289100</v>
      </c>
      <c r="M96" s="171">
        <f>159005/1.1</f>
        <v>144550</v>
      </c>
      <c r="N96" s="171">
        <f>227150/1.1</f>
        <v>206499.99999999997</v>
      </c>
      <c r="O96" s="171">
        <f>227150/1.1</f>
        <v>206499.99999999997</v>
      </c>
      <c r="P96" s="171">
        <f t="shared" ref="P96:U96" si="12">363440/1.1</f>
        <v>330400</v>
      </c>
      <c r="Q96" s="171">
        <f t="shared" si="12"/>
        <v>330400</v>
      </c>
      <c r="R96" s="172">
        <f t="shared" si="12"/>
        <v>330400</v>
      </c>
      <c r="S96" s="172">
        <f t="shared" si="12"/>
        <v>330400</v>
      </c>
      <c r="T96" s="172">
        <f t="shared" si="12"/>
        <v>330400</v>
      </c>
      <c r="U96" s="172">
        <f t="shared" si="12"/>
        <v>330400</v>
      </c>
      <c r="V96" s="172">
        <f>SUM($J96:$U96)</f>
        <v>2829050</v>
      </c>
    </row>
    <row r="97" spans="1:39">
      <c r="H97" s="145" t="s">
        <v>278</v>
      </c>
      <c r="J97" s="171">
        <f>J$53-J$52</f>
        <v>95810</v>
      </c>
      <c r="K97" s="171">
        <f t="shared" ref="K97:U97" si="13">K$53-K$52</f>
        <v>-307940.00000000047</v>
      </c>
      <c r="L97" s="171">
        <f t="shared" si="13"/>
        <v>-518840.00000000047</v>
      </c>
      <c r="M97" s="171">
        <f t="shared" si="13"/>
        <v>-523060</v>
      </c>
      <c r="N97" s="171">
        <f t="shared" si="13"/>
        <v>-419860.00000000047</v>
      </c>
      <c r="O97" s="171">
        <f t="shared" si="13"/>
        <v>-420630.00000000047</v>
      </c>
      <c r="P97" s="171">
        <f t="shared" si="13"/>
        <v>-296730.00000000047</v>
      </c>
      <c r="Q97" s="171">
        <f t="shared" si="13"/>
        <v>-370090.00000000047</v>
      </c>
      <c r="R97" s="172">
        <f t="shared" si="13"/>
        <v>-370090.00000000047</v>
      </c>
      <c r="S97" s="172">
        <f t="shared" si="13"/>
        <v>-89390</v>
      </c>
      <c r="T97" s="172">
        <f t="shared" si="13"/>
        <v>-89390</v>
      </c>
      <c r="U97" s="172">
        <f t="shared" si="13"/>
        <v>-89390</v>
      </c>
      <c r="V97" s="172">
        <f>V$53-V$52</f>
        <v>-3399600</v>
      </c>
    </row>
    <row r="101" spans="1:39">
      <c r="H101" s="145" t="s">
        <v>279</v>
      </c>
      <c r="J101" s="145" t="s">
        <v>249</v>
      </c>
      <c r="K101" s="145" t="s">
        <v>250</v>
      </c>
      <c r="L101" s="145" t="s">
        <v>129</v>
      </c>
      <c r="M101" s="145" t="s">
        <v>130</v>
      </c>
      <c r="N101" s="145" t="s">
        <v>131</v>
      </c>
      <c r="O101" s="145" t="s">
        <v>132</v>
      </c>
      <c r="P101" s="145" t="s">
        <v>133</v>
      </c>
      <c r="Q101" s="145" t="s">
        <v>134</v>
      </c>
      <c r="R101" s="145" t="s">
        <v>135</v>
      </c>
      <c r="S101" s="145" t="s">
        <v>136</v>
      </c>
      <c r="T101" s="145" t="s">
        <v>137</v>
      </c>
      <c r="U101" s="145" t="s">
        <v>138</v>
      </c>
      <c r="X101" s="193" t="s">
        <v>280</v>
      </c>
    </row>
    <row r="102" spans="1:39">
      <c r="I102" s="145" t="s">
        <v>263</v>
      </c>
      <c r="J102" s="145">
        <v>0</v>
      </c>
      <c r="K102" s="145">
        <v>0</v>
      </c>
      <c r="L102" s="145">
        <v>35</v>
      </c>
      <c r="M102" s="145">
        <v>35</v>
      </c>
      <c r="N102" s="145">
        <v>55</v>
      </c>
      <c r="O102" s="145">
        <v>55</v>
      </c>
      <c r="P102" s="145">
        <v>55</v>
      </c>
      <c r="Q102" s="145">
        <v>55</v>
      </c>
      <c r="R102" s="145">
        <v>55</v>
      </c>
      <c r="S102" s="145">
        <v>55</v>
      </c>
      <c r="T102" s="145">
        <v>55</v>
      </c>
      <c r="U102" s="145">
        <v>55</v>
      </c>
      <c r="X102" s="193">
        <v>135</v>
      </c>
    </row>
    <row r="103" spans="1:39">
      <c r="I103" s="145" t="s">
        <v>281</v>
      </c>
      <c r="J103" s="145">
        <v>0</v>
      </c>
      <c r="K103" s="145">
        <v>35</v>
      </c>
      <c r="L103" s="145">
        <v>35</v>
      </c>
      <c r="M103" s="145">
        <v>50</v>
      </c>
      <c r="N103" s="145">
        <v>50</v>
      </c>
      <c r="O103" s="145">
        <v>80</v>
      </c>
      <c r="P103" s="145">
        <v>80</v>
      </c>
      <c r="Q103" s="145">
        <v>80</v>
      </c>
      <c r="R103" s="145">
        <v>80</v>
      </c>
      <c r="S103" s="145">
        <v>80</v>
      </c>
      <c r="T103" s="145">
        <v>80</v>
      </c>
      <c r="U103" s="145">
        <v>80</v>
      </c>
    </row>
    <row r="104" spans="1:39">
      <c r="I104" s="145" t="s">
        <v>282</v>
      </c>
      <c r="J104" s="145">
        <v>0</v>
      </c>
      <c r="K104" s="145">
        <v>0</v>
      </c>
      <c r="L104" s="145">
        <v>0</v>
      </c>
      <c r="M104" s="145">
        <v>0</v>
      </c>
      <c r="N104" s="145">
        <v>0</v>
      </c>
      <c r="O104" s="145">
        <v>0</v>
      </c>
      <c r="P104" s="145">
        <v>50</v>
      </c>
      <c r="Q104" s="145">
        <v>50</v>
      </c>
      <c r="R104" s="145">
        <v>70</v>
      </c>
      <c r="S104" s="145">
        <v>70</v>
      </c>
      <c r="T104" s="145">
        <v>70</v>
      </c>
      <c r="U104" s="145">
        <v>70</v>
      </c>
    </row>
    <row r="105" spans="1:39">
      <c r="A105" s="145" t="s">
        <v>285</v>
      </c>
      <c r="U105" s="145" t="s">
        <v>122</v>
      </c>
      <c r="V105" s="145">
        <f>SUM(U102:U104)</f>
        <v>205</v>
      </c>
    </row>
    <row r="106" spans="1:39">
      <c r="A106" s="145" t="s">
        <v>286</v>
      </c>
    </row>
    <row r="107" spans="1:39">
      <c r="A107" s="145" t="s">
        <v>287</v>
      </c>
    </row>
    <row r="108" spans="1:39"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</row>
    <row r="110" spans="1:39">
      <c r="A110" s="145" t="s">
        <v>241</v>
      </c>
      <c r="V110" s="146"/>
    </row>
    <row r="111" spans="1:39" ht="18.600000000000001" thickBot="1">
      <c r="A111" s="145" t="s">
        <v>242</v>
      </c>
      <c r="B111" s="145" t="s">
        <v>243</v>
      </c>
      <c r="C111" s="145" t="s">
        <v>244</v>
      </c>
      <c r="D111" s="145" t="s">
        <v>245</v>
      </c>
      <c r="E111" s="145" t="s">
        <v>246</v>
      </c>
      <c r="F111" s="145" t="s">
        <v>237</v>
      </c>
      <c r="G111" s="145" t="s">
        <v>247</v>
      </c>
      <c r="H111" s="145" t="s">
        <v>248</v>
      </c>
      <c r="I111" s="145" t="s">
        <v>7</v>
      </c>
      <c r="J111" s="145" t="s">
        <v>249</v>
      </c>
      <c r="K111" s="145" t="s">
        <v>250</v>
      </c>
      <c r="L111" s="145" t="s">
        <v>129</v>
      </c>
      <c r="M111" s="145" t="s">
        <v>130</v>
      </c>
      <c r="N111" s="145" t="s">
        <v>131</v>
      </c>
      <c r="O111" s="145" t="s">
        <v>132</v>
      </c>
      <c r="P111" s="145" t="s">
        <v>133</v>
      </c>
      <c r="Q111" s="145" t="s">
        <v>134</v>
      </c>
      <c r="R111" s="145" t="s">
        <v>135</v>
      </c>
      <c r="S111" s="145" t="s">
        <v>136</v>
      </c>
      <c r="T111" s="145" t="s">
        <v>137</v>
      </c>
      <c r="U111" s="145" t="s">
        <v>138</v>
      </c>
      <c r="V111" s="146" t="s">
        <v>251</v>
      </c>
      <c r="Z111" s="195"/>
      <c r="AA111" s="196" t="s">
        <v>249</v>
      </c>
      <c r="AB111" s="196" t="s">
        <v>250</v>
      </c>
      <c r="AC111" s="196" t="s">
        <v>129</v>
      </c>
      <c r="AD111" s="196" t="s">
        <v>130</v>
      </c>
      <c r="AE111" s="196" t="s">
        <v>131</v>
      </c>
      <c r="AF111" s="196" t="s">
        <v>132</v>
      </c>
      <c r="AG111" s="196" t="s">
        <v>133</v>
      </c>
      <c r="AH111" s="196" t="s">
        <v>134</v>
      </c>
      <c r="AI111" s="196" t="s">
        <v>135</v>
      </c>
      <c r="AJ111" s="196" t="s">
        <v>136</v>
      </c>
      <c r="AK111" s="196" t="s">
        <v>137</v>
      </c>
      <c r="AL111" s="196" t="s">
        <v>138</v>
      </c>
      <c r="AM111" s="197" t="s">
        <v>156</v>
      </c>
    </row>
    <row r="112" spans="1:39" ht="18.600000000000001" thickTop="1">
      <c r="A112" s="147" t="s">
        <v>252</v>
      </c>
      <c r="B112" s="147" t="s">
        <v>253</v>
      </c>
      <c r="C112" s="147" t="s">
        <v>254</v>
      </c>
      <c r="D112" s="147">
        <v>0</v>
      </c>
      <c r="E112" s="148">
        <v>4030</v>
      </c>
      <c r="F112" s="149"/>
      <c r="G112" s="147"/>
      <c r="H112" s="147"/>
      <c r="I112" s="147"/>
      <c r="J112" s="147">
        <v>0</v>
      </c>
      <c r="K112" s="147">
        <v>0</v>
      </c>
      <c r="L112" s="147">
        <v>0</v>
      </c>
      <c r="M112" s="147">
        <v>0</v>
      </c>
      <c r="N112" s="147">
        <v>0</v>
      </c>
      <c r="O112" s="147">
        <v>0</v>
      </c>
      <c r="P112" s="147">
        <v>0</v>
      </c>
      <c r="Q112" s="147">
        <v>0</v>
      </c>
      <c r="R112" s="147">
        <v>0</v>
      </c>
      <c r="S112" s="147">
        <v>0</v>
      </c>
      <c r="T112" s="147">
        <v>0</v>
      </c>
      <c r="U112" s="147">
        <v>0</v>
      </c>
      <c r="V112" s="150">
        <f>$D112*$E112</f>
        <v>0</v>
      </c>
      <c r="Z112" s="198" t="s">
        <v>254</v>
      </c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</row>
    <row r="113" spans="1:42">
      <c r="A113" s="145" t="s">
        <v>252</v>
      </c>
      <c r="B113" s="145" t="s">
        <v>253</v>
      </c>
      <c r="C113" s="145" t="s">
        <v>255</v>
      </c>
      <c r="D113" s="145">
        <v>0</v>
      </c>
      <c r="E113" s="151">
        <v>4030</v>
      </c>
      <c r="F113" s="152"/>
      <c r="G113" s="153"/>
      <c r="H113" s="153"/>
      <c r="I113" s="153"/>
      <c r="J113" s="152">
        <v>0</v>
      </c>
      <c r="K113" s="152">
        <v>0</v>
      </c>
      <c r="L113" s="152">
        <v>0</v>
      </c>
      <c r="M113" s="152">
        <v>0</v>
      </c>
      <c r="N113" s="152">
        <v>0</v>
      </c>
      <c r="O113" s="152">
        <v>0</v>
      </c>
      <c r="P113" s="152">
        <v>0</v>
      </c>
      <c r="Q113" s="152">
        <v>0</v>
      </c>
      <c r="R113" s="152">
        <v>0</v>
      </c>
      <c r="S113" s="152">
        <v>0</v>
      </c>
      <c r="T113" s="152">
        <v>0</v>
      </c>
      <c r="U113" s="152">
        <v>0</v>
      </c>
      <c r="V113" s="154">
        <f t="shared" ref="V113:V122" si="14">$D113*$E113</f>
        <v>0</v>
      </c>
      <c r="Z113" s="160" t="s">
        <v>255</v>
      </c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</row>
    <row r="114" spans="1:42">
      <c r="A114" s="145" t="s">
        <v>256</v>
      </c>
      <c r="B114" s="145" t="s">
        <v>253</v>
      </c>
      <c r="C114" s="145" t="s">
        <v>257</v>
      </c>
      <c r="D114" s="145">
        <v>219</v>
      </c>
      <c r="E114" s="155">
        <v>4200</v>
      </c>
      <c r="F114" s="156"/>
      <c r="G114" s="157"/>
      <c r="H114" s="157"/>
      <c r="I114" s="157"/>
      <c r="J114" s="158">
        <v>219</v>
      </c>
      <c r="K114" s="158">
        <v>219</v>
      </c>
      <c r="L114" s="158">
        <v>219</v>
      </c>
      <c r="M114" s="158">
        <v>219</v>
      </c>
      <c r="N114" s="158">
        <v>219</v>
      </c>
      <c r="O114" s="158">
        <v>219</v>
      </c>
      <c r="P114" s="158">
        <v>219</v>
      </c>
      <c r="Q114" s="158">
        <v>219</v>
      </c>
      <c r="R114" s="158">
        <v>219</v>
      </c>
      <c r="S114" s="158">
        <v>219</v>
      </c>
      <c r="T114" s="158">
        <v>219</v>
      </c>
      <c r="U114" s="158">
        <v>219</v>
      </c>
      <c r="V114" s="154">
        <f t="shared" si="14"/>
        <v>919800</v>
      </c>
      <c r="Z114" s="160" t="s">
        <v>257</v>
      </c>
      <c r="AA114" s="197">
        <f t="shared" ref="AA114:AA123" si="15">J114*$E114</f>
        <v>919800</v>
      </c>
      <c r="AB114" s="197">
        <f t="shared" ref="AB114:AB122" si="16">K114*$E114</f>
        <v>919800</v>
      </c>
      <c r="AC114" s="197">
        <f t="shared" ref="AC114:AC123" si="17">L114*$E114</f>
        <v>919800</v>
      </c>
      <c r="AD114" s="197">
        <f t="shared" ref="AD114:AD123" si="18">M114*$E114</f>
        <v>919800</v>
      </c>
      <c r="AE114" s="197">
        <f t="shared" ref="AE114:AE123" si="19">N114*$E114</f>
        <v>919800</v>
      </c>
      <c r="AF114" s="197">
        <f t="shared" ref="AF114:AF123" si="20">O114*$E114</f>
        <v>919800</v>
      </c>
      <c r="AG114" s="197">
        <f t="shared" ref="AG114:AG123" si="21">P114*$E114</f>
        <v>919800</v>
      </c>
      <c r="AH114" s="197">
        <f t="shared" ref="AH114:AH123" si="22">Q114*$E114</f>
        <v>919800</v>
      </c>
      <c r="AI114" s="197">
        <f t="shared" ref="AI114:AI123" si="23">R114*$E114</f>
        <v>919800</v>
      </c>
      <c r="AJ114" s="197">
        <f t="shared" ref="AJ114:AJ123" si="24">S114*$E114</f>
        <v>919800</v>
      </c>
      <c r="AK114" s="197">
        <f t="shared" ref="AK114:AK123" si="25">T114*$E114</f>
        <v>919800</v>
      </c>
      <c r="AL114" s="197">
        <f t="shared" ref="AL114:AL123" si="26">U114*$E114</f>
        <v>919800</v>
      </c>
      <c r="AM114" s="197">
        <f>SUM(AA114:AL114)</f>
        <v>11037600</v>
      </c>
    </row>
    <row r="115" spans="1:42">
      <c r="A115" s="145" t="s">
        <v>258</v>
      </c>
      <c r="B115" s="145" t="s">
        <v>253</v>
      </c>
      <c r="C115" s="145" t="s">
        <v>205</v>
      </c>
      <c r="D115" s="145">
        <v>37</v>
      </c>
      <c r="E115" s="155">
        <v>6750</v>
      </c>
      <c r="F115" s="156"/>
      <c r="G115" s="157"/>
      <c r="H115" s="157"/>
      <c r="I115" s="157"/>
      <c r="J115" s="145">
        <v>37</v>
      </c>
      <c r="K115" s="145">
        <v>37</v>
      </c>
      <c r="L115" s="145">
        <v>37</v>
      </c>
      <c r="M115" s="145">
        <v>37</v>
      </c>
      <c r="N115" s="145">
        <v>37</v>
      </c>
      <c r="O115" s="145">
        <v>37</v>
      </c>
      <c r="P115" s="145">
        <v>37</v>
      </c>
      <c r="Q115" s="145">
        <v>37</v>
      </c>
      <c r="R115" s="145">
        <v>37</v>
      </c>
      <c r="S115" s="145">
        <v>37</v>
      </c>
      <c r="T115" s="145">
        <v>37</v>
      </c>
      <c r="U115" s="145">
        <v>37</v>
      </c>
      <c r="V115" s="154">
        <f t="shared" si="14"/>
        <v>249750</v>
      </c>
      <c r="Z115" s="160" t="s">
        <v>205</v>
      </c>
      <c r="AA115" s="197">
        <f t="shared" si="15"/>
        <v>249750</v>
      </c>
      <c r="AB115" s="197">
        <f t="shared" si="16"/>
        <v>249750</v>
      </c>
      <c r="AC115" s="197">
        <f t="shared" si="17"/>
        <v>249750</v>
      </c>
      <c r="AD115" s="197">
        <f t="shared" si="18"/>
        <v>249750</v>
      </c>
      <c r="AE115" s="197">
        <f t="shared" si="19"/>
        <v>249750</v>
      </c>
      <c r="AF115" s="197">
        <f t="shared" si="20"/>
        <v>249750</v>
      </c>
      <c r="AG115" s="197">
        <f t="shared" si="21"/>
        <v>249750</v>
      </c>
      <c r="AH115" s="197">
        <f t="shared" si="22"/>
        <v>249750</v>
      </c>
      <c r="AI115" s="197">
        <f t="shared" si="23"/>
        <v>249750</v>
      </c>
      <c r="AJ115" s="197">
        <f t="shared" si="24"/>
        <v>249750</v>
      </c>
      <c r="AK115" s="197">
        <f t="shared" si="25"/>
        <v>249750</v>
      </c>
      <c r="AL115" s="197">
        <f t="shared" si="26"/>
        <v>249750</v>
      </c>
      <c r="AM115" s="197">
        <f>SUM(AA115:AL115)</f>
        <v>2997000</v>
      </c>
    </row>
    <row r="116" spans="1:42">
      <c r="A116" s="145" t="s">
        <v>258</v>
      </c>
      <c r="B116" s="145" t="s">
        <v>253</v>
      </c>
      <c r="C116" s="145" t="s">
        <v>259</v>
      </c>
      <c r="D116" s="145">
        <v>37</v>
      </c>
      <c r="E116" s="155">
        <v>600</v>
      </c>
      <c r="F116" s="156"/>
      <c r="G116" s="157"/>
      <c r="H116" s="157"/>
      <c r="I116" s="157"/>
      <c r="J116" s="145">
        <v>37</v>
      </c>
      <c r="K116" s="145">
        <v>37</v>
      </c>
      <c r="L116" s="145">
        <v>37</v>
      </c>
      <c r="M116" s="145">
        <v>37</v>
      </c>
      <c r="N116" s="145">
        <v>37</v>
      </c>
      <c r="O116" s="145">
        <v>37</v>
      </c>
      <c r="P116" s="145">
        <v>37</v>
      </c>
      <c r="Q116" s="145">
        <v>37</v>
      </c>
      <c r="R116" s="145">
        <v>37</v>
      </c>
      <c r="S116" s="145">
        <v>37</v>
      </c>
      <c r="T116" s="145">
        <v>37</v>
      </c>
      <c r="U116" s="145">
        <v>37</v>
      </c>
      <c r="V116" s="154">
        <f t="shared" si="14"/>
        <v>22200</v>
      </c>
      <c r="Z116" s="160" t="s">
        <v>259</v>
      </c>
      <c r="AA116" s="197">
        <f t="shared" si="15"/>
        <v>22200</v>
      </c>
      <c r="AB116" s="197">
        <f t="shared" si="16"/>
        <v>22200</v>
      </c>
      <c r="AC116" s="197">
        <f t="shared" si="17"/>
        <v>22200</v>
      </c>
      <c r="AD116" s="197">
        <f t="shared" si="18"/>
        <v>22200</v>
      </c>
      <c r="AE116" s="197">
        <f t="shared" si="19"/>
        <v>22200</v>
      </c>
      <c r="AF116" s="197">
        <f t="shared" si="20"/>
        <v>22200</v>
      </c>
      <c r="AG116" s="197">
        <f t="shared" si="21"/>
        <v>22200</v>
      </c>
      <c r="AH116" s="197">
        <f t="shared" si="22"/>
        <v>22200</v>
      </c>
      <c r="AI116" s="197">
        <f t="shared" si="23"/>
        <v>22200</v>
      </c>
      <c r="AJ116" s="197">
        <f t="shared" si="24"/>
        <v>22200</v>
      </c>
      <c r="AK116" s="197">
        <f t="shared" si="25"/>
        <v>22200</v>
      </c>
      <c r="AL116" s="197">
        <f t="shared" si="26"/>
        <v>22200</v>
      </c>
      <c r="AM116" s="197">
        <f t="shared" ref="AM116:AM123" si="27">SUM(AA116:AL116)</f>
        <v>266400</v>
      </c>
    </row>
    <row r="117" spans="1:42">
      <c r="A117" s="145" t="s">
        <v>258</v>
      </c>
      <c r="B117" s="145" t="s">
        <v>253</v>
      </c>
      <c r="C117" s="145" t="s">
        <v>260</v>
      </c>
      <c r="D117" s="145">
        <v>37</v>
      </c>
      <c r="E117" s="155">
        <v>590</v>
      </c>
      <c r="F117" s="156"/>
      <c r="G117" s="157"/>
      <c r="H117" s="157"/>
      <c r="I117" s="157"/>
      <c r="J117" s="145">
        <v>37</v>
      </c>
      <c r="K117" s="145">
        <v>37</v>
      </c>
      <c r="L117" s="145">
        <v>37</v>
      </c>
      <c r="M117" s="145">
        <v>37</v>
      </c>
      <c r="N117" s="145">
        <v>37</v>
      </c>
      <c r="O117" s="145">
        <v>37</v>
      </c>
      <c r="P117" s="145">
        <v>37</v>
      </c>
      <c r="Q117" s="145">
        <v>37</v>
      </c>
      <c r="R117" s="145">
        <v>37</v>
      </c>
      <c r="S117" s="145">
        <v>37</v>
      </c>
      <c r="T117" s="145">
        <v>37</v>
      </c>
      <c r="U117" s="145">
        <v>37</v>
      </c>
      <c r="V117" s="154">
        <f t="shared" si="14"/>
        <v>21830</v>
      </c>
      <c r="Z117" s="160" t="s">
        <v>260</v>
      </c>
      <c r="AA117" s="197">
        <f t="shared" si="15"/>
        <v>21830</v>
      </c>
      <c r="AB117" s="197">
        <f t="shared" si="16"/>
        <v>21830</v>
      </c>
      <c r="AC117" s="197">
        <f t="shared" si="17"/>
        <v>21830</v>
      </c>
      <c r="AD117" s="197">
        <f t="shared" si="18"/>
        <v>21830</v>
      </c>
      <c r="AE117" s="197">
        <f t="shared" si="19"/>
        <v>21830</v>
      </c>
      <c r="AF117" s="197">
        <f t="shared" si="20"/>
        <v>21830</v>
      </c>
      <c r="AG117" s="197">
        <f t="shared" si="21"/>
        <v>21830</v>
      </c>
      <c r="AH117" s="197">
        <f t="shared" si="22"/>
        <v>21830</v>
      </c>
      <c r="AI117" s="197">
        <f t="shared" si="23"/>
        <v>21830</v>
      </c>
      <c r="AJ117" s="197">
        <f t="shared" si="24"/>
        <v>21830</v>
      </c>
      <c r="AK117" s="197">
        <f t="shared" si="25"/>
        <v>21830</v>
      </c>
      <c r="AL117" s="197">
        <f t="shared" si="26"/>
        <v>21830</v>
      </c>
      <c r="AM117" s="197">
        <f t="shared" si="27"/>
        <v>261960</v>
      </c>
    </row>
    <row r="118" spans="1:42">
      <c r="A118" s="145" t="s">
        <v>258</v>
      </c>
      <c r="B118" s="145" t="s">
        <v>253</v>
      </c>
      <c r="C118" s="145" t="s">
        <v>261</v>
      </c>
      <c r="D118" s="145">
        <v>2</v>
      </c>
      <c r="E118" s="155">
        <v>5270</v>
      </c>
      <c r="F118" s="156"/>
      <c r="G118" s="157"/>
      <c r="H118" s="157"/>
      <c r="I118" s="157"/>
      <c r="J118" s="145">
        <v>2</v>
      </c>
      <c r="K118" s="145">
        <v>2</v>
      </c>
      <c r="L118" s="145">
        <v>2</v>
      </c>
      <c r="M118" s="145">
        <v>2</v>
      </c>
      <c r="N118" s="145">
        <v>2</v>
      </c>
      <c r="O118" s="145">
        <v>2</v>
      </c>
      <c r="P118" s="145">
        <v>2</v>
      </c>
      <c r="Q118" s="145">
        <v>2</v>
      </c>
      <c r="R118" s="145">
        <v>2</v>
      </c>
      <c r="S118" s="145">
        <v>2</v>
      </c>
      <c r="T118" s="145">
        <v>2</v>
      </c>
      <c r="U118" s="145">
        <v>2</v>
      </c>
      <c r="V118" s="154">
        <f t="shared" si="14"/>
        <v>10540</v>
      </c>
      <c r="Z118" s="160" t="s">
        <v>261</v>
      </c>
      <c r="AA118" s="197">
        <f t="shared" si="15"/>
        <v>10540</v>
      </c>
      <c r="AB118" s="197">
        <f t="shared" si="16"/>
        <v>10540</v>
      </c>
      <c r="AC118" s="197">
        <f t="shared" si="17"/>
        <v>10540</v>
      </c>
      <c r="AD118" s="197">
        <f t="shared" si="18"/>
        <v>10540</v>
      </c>
      <c r="AE118" s="197">
        <f t="shared" si="19"/>
        <v>10540</v>
      </c>
      <c r="AF118" s="197">
        <f t="shared" si="20"/>
        <v>10540</v>
      </c>
      <c r="AG118" s="197">
        <f t="shared" si="21"/>
        <v>10540</v>
      </c>
      <c r="AH118" s="197">
        <f t="shared" si="22"/>
        <v>10540</v>
      </c>
      <c r="AI118" s="197">
        <f t="shared" si="23"/>
        <v>10540</v>
      </c>
      <c r="AJ118" s="197">
        <f t="shared" si="24"/>
        <v>10540</v>
      </c>
      <c r="AK118" s="197">
        <f t="shared" si="25"/>
        <v>10540</v>
      </c>
      <c r="AL118" s="197">
        <f t="shared" si="26"/>
        <v>10540</v>
      </c>
      <c r="AM118" s="197">
        <f t="shared" si="27"/>
        <v>126480</v>
      </c>
    </row>
    <row r="119" spans="1:42">
      <c r="A119" s="145" t="s">
        <v>258</v>
      </c>
      <c r="B119" s="145" t="s">
        <v>253</v>
      </c>
      <c r="C119" s="145" t="s">
        <v>262</v>
      </c>
      <c r="D119" s="145">
        <v>3</v>
      </c>
      <c r="E119" s="155">
        <v>3690</v>
      </c>
      <c r="F119" s="156"/>
      <c r="G119" s="157"/>
      <c r="H119" s="157"/>
      <c r="I119" s="157"/>
      <c r="J119" s="145">
        <v>3</v>
      </c>
      <c r="K119" s="145">
        <v>3</v>
      </c>
      <c r="L119" s="145">
        <v>3</v>
      </c>
      <c r="M119" s="145">
        <v>3</v>
      </c>
      <c r="N119" s="145">
        <v>3</v>
      </c>
      <c r="O119" s="145">
        <v>3</v>
      </c>
      <c r="P119" s="145">
        <v>3</v>
      </c>
      <c r="Q119" s="145">
        <v>3</v>
      </c>
      <c r="R119" s="145">
        <v>3</v>
      </c>
      <c r="S119" s="145">
        <v>3</v>
      </c>
      <c r="T119" s="145">
        <v>3</v>
      </c>
      <c r="U119" s="145">
        <v>3</v>
      </c>
      <c r="V119" s="154">
        <f t="shared" si="14"/>
        <v>11070</v>
      </c>
      <c r="Z119" s="160" t="s">
        <v>262</v>
      </c>
      <c r="AA119" s="197">
        <f t="shared" si="15"/>
        <v>11070</v>
      </c>
      <c r="AB119" s="197">
        <f t="shared" si="16"/>
        <v>11070</v>
      </c>
      <c r="AC119" s="197">
        <f t="shared" si="17"/>
        <v>11070</v>
      </c>
      <c r="AD119" s="197">
        <f t="shared" si="18"/>
        <v>11070</v>
      </c>
      <c r="AE119" s="197">
        <f t="shared" si="19"/>
        <v>11070</v>
      </c>
      <c r="AF119" s="197">
        <f t="shared" si="20"/>
        <v>11070</v>
      </c>
      <c r="AG119" s="197">
        <f t="shared" si="21"/>
        <v>11070</v>
      </c>
      <c r="AH119" s="197">
        <f t="shared" si="22"/>
        <v>11070</v>
      </c>
      <c r="AI119" s="197">
        <f t="shared" si="23"/>
        <v>11070</v>
      </c>
      <c r="AJ119" s="197">
        <f t="shared" si="24"/>
        <v>11070</v>
      </c>
      <c r="AK119" s="197">
        <f t="shared" si="25"/>
        <v>11070</v>
      </c>
      <c r="AL119" s="197">
        <f t="shared" si="26"/>
        <v>11070</v>
      </c>
      <c r="AM119" s="197">
        <f t="shared" si="27"/>
        <v>132840</v>
      </c>
    </row>
    <row r="120" spans="1:42">
      <c r="A120" s="145" t="s">
        <v>258</v>
      </c>
      <c r="B120" s="145" t="s">
        <v>79</v>
      </c>
      <c r="C120" s="145" t="s">
        <v>263</v>
      </c>
      <c r="D120" s="145">
        <v>190</v>
      </c>
      <c r="E120" s="159">
        <v>3850</v>
      </c>
      <c r="F120" s="156"/>
      <c r="G120" s="157"/>
      <c r="H120" s="157"/>
      <c r="I120" s="157"/>
      <c r="J120" s="145">
        <v>190</v>
      </c>
      <c r="K120" s="145">
        <v>190</v>
      </c>
      <c r="L120" s="145">
        <v>190</v>
      </c>
      <c r="M120" s="145">
        <v>190</v>
      </c>
      <c r="N120" s="145">
        <v>190</v>
      </c>
      <c r="O120" s="145">
        <v>190</v>
      </c>
      <c r="P120" s="145">
        <v>190</v>
      </c>
      <c r="Q120" s="145">
        <v>190</v>
      </c>
      <c r="R120" s="145">
        <v>190</v>
      </c>
      <c r="S120" s="145">
        <v>190</v>
      </c>
      <c r="T120" s="145">
        <v>190</v>
      </c>
      <c r="U120" s="145">
        <v>190</v>
      </c>
      <c r="V120" s="154">
        <f t="shared" si="14"/>
        <v>731500</v>
      </c>
      <c r="Z120" s="160" t="s">
        <v>263</v>
      </c>
      <c r="AA120" s="197">
        <f t="shared" si="15"/>
        <v>731500</v>
      </c>
      <c r="AB120" s="197">
        <f t="shared" si="16"/>
        <v>731500</v>
      </c>
      <c r="AC120" s="197">
        <f t="shared" si="17"/>
        <v>731500</v>
      </c>
      <c r="AD120" s="197">
        <f t="shared" si="18"/>
        <v>731500</v>
      </c>
      <c r="AE120" s="197">
        <f t="shared" si="19"/>
        <v>731500</v>
      </c>
      <c r="AF120" s="197">
        <f t="shared" si="20"/>
        <v>731500</v>
      </c>
      <c r="AG120" s="197">
        <f t="shared" si="21"/>
        <v>731500</v>
      </c>
      <c r="AH120" s="197">
        <f t="shared" si="22"/>
        <v>731500</v>
      </c>
      <c r="AI120" s="197">
        <f t="shared" si="23"/>
        <v>731500</v>
      </c>
      <c r="AJ120" s="197">
        <f t="shared" si="24"/>
        <v>731500</v>
      </c>
      <c r="AK120" s="197">
        <f t="shared" si="25"/>
        <v>731500</v>
      </c>
      <c r="AL120" s="197">
        <f t="shared" si="26"/>
        <v>731500</v>
      </c>
      <c r="AM120" s="197">
        <f t="shared" si="27"/>
        <v>8778000</v>
      </c>
    </row>
    <row r="121" spans="1:42">
      <c r="A121" s="145" t="s">
        <v>258</v>
      </c>
      <c r="B121" s="145" t="s">
        <v>79</v>
      </c>
      <c r="C121" s="145" t="s">
        <v>264</v>
      </c>
      <c r="D121" s="160">
        <v>90</v>
      </c>
      <c r="E121" s="155">
        <v>4010</v>
      </c>
      <c r="J121" s="145">
        <v>90</v>
      </c>
      <c r="K121" s="145">
        <v>90</v>
      </c>
      <c r="L121" s="145">
        <v>90</v>
      </c>
      <c r="M121" s="145">
        <v>90</v>
      </c>
      <c r="N121" s="145">
        <v>90</v>
      </c>
      <c r="O121" s="145">
        <v>90</v>
      </c>
      <c r="P121" s="145">
        <v>90</v>
      </c>
      <c r="Q121" s="145">
        <v>90</v>
      </c>
      <c r="R121" s="145">
        <v>90</v>
      </c>
      <c r="S121" s="145">
        <v>90</v>
      </c>
      <c r="T121" s="145">
        <v>90</v>
      </c>
      <c r="U121" s="145">
        <v>90</v>
      </c>
      <c r="V121" s="154">
        <f>$D121*$E121</f>
        <v>360900</v>
      </c>
      <c r="Z121" s="160" t="s">
        <v>264</v>
      </c>
      <c r="AA121" s="197">
        <f t="shared" si="15"/>
        <v>360900</v>
      </c>
      <c r="AB121" s="197">
        <f t="shared" si="16"/>
        <v>360900</v>
      </c>
      <c r="AC121" s="197">
        <f t="shared" si="17"/>
        <v>360900</v>
      </c>
      <c r="AD121" s="197">
        <f t="shared" si="18"/>
        <v>360900</v>
      </c>
      <c r="AE121" s="197">
        <f t="shared" si="19"/>
        <v>360900</v>
      </c>
      <c r="AF121" s="197">
        <f t="shared" si="20"/>
        <v>360900</v>
      </c>
      <c r="AG121" s="197">
        <f t="shared" si="21"/>
        <v>360900</v>
      </c>
      <c r="AH121" s="197">
        <f t="shared" si="22"/>
        <v>360900</v>
      </c>
      <c r="AI121" s="197">
        <f t="shared" si="23"/>
        <v>360900</v>
      </c>
      <c r="AJ121" s="197">
        <f t="shared" si="24"/>
        <v>360900</v>
      </c>
      <c r="AK121" s="197">
        <f t="shared" si="25"/>
        <v>360900</v>
      </c>
      <c r="AL121" s="197">
        <f t="shared" si="26"/>
        <v>360900</v>
      </c>
      <c r="AM121" s="197">
        <f t="shared" si="27"/>
        <v>4330800</v>
      </c>
    </row>
    <row r="122" spans="1:42" ht="18.600000000000001" thickBot="1">
      <c r="A122" s="161" t="s">
        <v>258</v>
      </c>
      <c r="B122" s="161" t="s">
        <v>265</v>
      </c>
      <c r="C122" s="161" t="s">
        <v>266</v>
      </c>
      <c r="D122" s="162">
        <v>80</v>
      </c>
      <c r="E122" s="163">
        <v>4130</v>
      </c>
      <c r="F122" s="161"/>
      <c r="G122" s="161"/>
      <c r="H122" s="161"/>
      <c r="I122" s="161"/>
      <c r="J122" s="161">
        <v>80</v>
      </c>
      <c r="K122" s="161">
        <v>80</v>
      </c>
      <c r="L122" s="161">
        <v>80</v>
      </c>
      <c r="M122" s="161">
        <v>80</v>
      </c>
      <c r="N122" s="161">
        <v>80</v>
      </c>
      <c r="O122" s="161">
        <v>80</v>
      </c>
      <c r="P122" s="161">
        <v>80</v>
      </c>
      <c r="Q122" s="161">
        <v>80</v>
      </c>
      <c r="R122" s="161">
        <v>80</v>
      </c>
      <c r="S122" s="161">
        <v>80</v>
      </c>
      <c r="T122" s="161">
        <v>80</v>
      </c>
      <c r="U122" s="161">
        <v>80</v>
      </c>
      <c r="V122" s="164">
        <f t="shared" si="14"/>
        <v>330400</v>
      </c>
      <c r="W122" s="161"/>
      <c r="Z122" s="162" t="s">
        <v>266</v>
      </c>
      <c r="AA122" s="197">
        <f t="shared" si="15"/>
        <v>330400</v>
      </c>
      <c r="AB122" s="197">
        <f t="shared" si="16"/>
        <v>330400</v>
      </c>
      <c r="AC122" s="197">
        <f t="shared" si="17"/>
        <v>330400</v>
      </c>
      <c r="AD122" s="197">
        <f t="shared" si="18"/>
        <v>330400</v>
      </c>
      <c r="AE122" s="197">
        <f t="shared" si="19"/>
        <v>330400</v>
      </c>
      <c r="AF122" s="197">
        <f t="shared" si="20"/>
        <v>330400</v>
      </c>
      <c r="AG122" s="197">
        <f t="shared" si="21"/>
        <v>330400</v>
      </c>
      <c r="AH122" s="197">
        <f t="shared" si="22"/>
        <v>330400</v>
      </c>
      <c r="AI122" s="197">
        <f t="shared" si="23"/>
        <v>330400</v>
      </c>
      <c r="AJ122" s="197">
        <f t="shared" si="24"/>
        <v>330400</v>
      </c>
      <c r="AK122" s="197">
        <f t="shared" si="25"/>
        <v>330400</v>
      </c>
      <c r="AL122" s="197">
        <f t="shared" si="26"/>
        <v>330400</v>
      </c>
      <c r="AM122" s="197">
        <f t="shared" si="27"/>
        <v>3964800</v>
      </c>
    </row>
    <row r="123" spans="1:42" ht="18.600000000000001" thickTop="1">
      <c r="A123" s="145" t="s">
        <v>267</v>
      </c>
      <c r="D123" s="158">
        <f>SUM(F123:I123)</f>
        <v>395</v>
      </c>
      <c r="E123" s="191">
        <v>2630</v>
      </c>
      <c r="F123" s="152">
        <v>235</v>
      </c>
      <c r="G123" s="145">
        <v>100</v>
      </c>
      <c r="H123" s="145">
        <v>10</v>
      </c>
      <c r="I123" s="145">
        <v>50</v>
      </c>
      <c r="J123" s="145">
        <v>0</v>
      </c>
      <c r="K123" s="145">
        <v>100</v>
      </c>
      <c r="L123" s="145">
        <v>150</v>
      </c>
      <c r="M123" s="145">
        <v>190</v>
      </c>
      <c r="N123" s="145">
        <v>230</v>
      </c>
      <c r="O123" s="145">
        <v>270</v>
      </c>
      <c r="P123" s="145">
        <v>310</v>
      </c>
      <c r="Q123" s="145">
        <v>350</v>
      </c>
      <c r="R123" s="145">
        <v>380</v>
      </c>
      <c r="S123" s="145">
        <v>395</v>
      </c>
      <c r="T123" s="145">
        <v>395</v>
      </c>
      <c r="U123" s="145">
        <v>395</v>
      </c>
      <c r="V123" s="154">
        <f>$D123*$E123</f>
        <v>1038850</v>
      </c>
      <c r="Z123" s="195"/>
      <c r="AA123" s="197">
        <f t="shared" si="15"/>
        <v>0</v>
      </c>
      <c r="AB123" s="197">
        <f>K123*$E123</f>
        <v>263000</v>
      </c>
      <c r="AC123" s="197">
        <f t="shared" si="17"/>
        <v>394500</v>
      </c>
      <c r="AD123" s="197">
        <f t="shared" si="18"/>
        <v>499700</v>
      </c>
      <c r="AE123" s="197">
        <f t="shared" si="19"/>
        <v>604900</v>
      </c>
      <c r="AF123" s="197">
        <f t="shared" si="20"/>
        <v>710100</v>
      </c>
      <c r="AG123" s="197">
        <f t="shared" si="21"/>
        <v>815300</v>
      </c>
      <c r="AH123" s="197">
        <f t="shared" si="22"/>
        <v>920500</v>
      </c>
      <c r="AI123" s="197">
        <f t="shared" si="23"/>
        <v>999400</v>
      </c>
      <c r="AJ123" s="197">
        <f t="shared" si="24"/>
        <v>1038850</v>
      </c>
      <c r="AK123" s="197">
        <f t="shared" si="25"/>
        <v>1038850</v>
      </c>
      <c r="AL123" s="197">
        <f t="shared" si="26"/>
        <v>1038850</v>
      </c>
      <c r="AM123" s="197">
        <f t="shared" si="27"/>
        <v>8323950</v>
      </c>
    </row>
    <row r="124" spans="1:42">
      <c r="Q124" s="145" t="s">
        <v>288</v>
      </c>
      <c r="R124" s="145">
        <v>4435490</v>
      </c>
      <c r="U124" s="145" t="s">
        <v>270</v>
      </c>
      <c r="V124" s="16">
        <f>SUM(V112:V123)</f>
        <v>3696840</v>
      </c>
      <c r="W124" s="190">
        <f>V124*12</f>
        <v>44362080</v>
      </c>
      <c r="Z124" s="195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>
        <f>SUM(AM114:AM123)</f>
        <v>40219830</v>
      </c>
    </row>
    <row r="125" spans="1:42">
      <c r="L125" s="145" t="s">
        <v>289</v>
      </c>
      <c r="M125" s="158">
        <f>SUM(V112:V122)</f>
        <v>2657990</v>
      </c>
      <c r="U125" s="145" t="s">
        <v>156</v>
      </c>
      <c r="V125" s="145">
        <f>V124*12</f>
        <v>44362080</v>
      </c>
      <c r="Z125" s="195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>
        <v>40220000</v>
      </c>
    </row>
    <row r="126" spans="1:42" ht="18.600000000000001" thickBot="1">
      <c r="U126" s="167" t="s">
        <v>290</v>
      </c>
      <c r="V126" s="169">
        <v>4600000</v>
      </c>
      <c r="AA126" s="190">
        <f t="shared" ref="AA126:AL126" si="28">SUM(AA114:AA125)</f>
        <v>2657990</v>
      </c>
      <c r="AB126" s="190">
        <f t="shared" si="28"/>
        <v>2920990</v>
      </c>
      <c r="AC126" s="190">
        <f t="shared" si="28"/>
        <v>3052490</v>
      </c>
      <c r="AD126" s="190">
        <f t="shared" si="28"/>
        <v>3157690</v>
      </c>
      <c r="AE126" s="190">
        <f t="shared" si="28"/>
        <v>3262890</v>
      </c>
      <c r="AF126" s="190">
        <f t="shared" si="28"/>
        <v>3368090</v>
      </c>
      <c r="AG126" s="190">
        <f t="shared" si="28"/>
        <v>3473290</v>
      </c>
      <c r="AH126" s="190">
        <f t="shared" si="28"/>
        <v>3578490</v>
      </c>
      <c r="AI126" s="190">
        <f t="shared" si="28"/>
        <v>3657390</v>
      </c>
      <c r="AJ126" s="190">
        <f t="shared" si="28"/>
        <v>3696840</v>
      </c>
      <c r="AK126" s="190">
        <f t="shared" si="28"/>
        <v>3696840</v>
      </c>
      <c r="AL126" s="2">
        <f t="shared" si="28"/>
        <v>3696840</v>
      </c>
      <c r="AM126" s="190">
        <v>40300000</v>
      </c>
    </row>
    <row r="127" spans="1:42" ht="85.5">
      <c r="J127" s="194">
        <f>$M125+J123*$E123</f>
        <v>2657990</v>
      </c>
      <c r="K127" s="194">
        <f t="shared" ref="K127:U127" si="29">$M125+K123*$E123</f>
        <v>2920990</v>
      </c>
      <c r="L127" s="194">
        <f t="shared" si="29"/>
        <v>3052490</v>
      </c>
      <c r="M127" s="194">
        <f t="shared" si="29"/>
        <v>3157690</v>
      </c>
      <c r="N127" s="194">
        <f t="shared" si="29"/>
        <v>3262890</v>
      </c>
      <c r="O127" s="194">
        <f t="shared" si="29"/>
        <v>3368090</v>
      </c>
      <c r="P127" s="194">
        <f t="shared" si="29"/>
        <v>3473290</v>
      </c>
      <c r="Q127" s="194">
        <f t="shared" si="29"/>
        <v>3578490</v>
      </c>
      <c r="R127" s="194">
        <f t="shared" si="29"/>
        <v>3657390</v>
      </c>
      <c r="S127" s="194">
        <f t="shared" si="29"/>
        <v>3696840</v>
      </c>
      <c r="T127" s="194">
        <f t="shared" si="29"/>
        <v>3696840</v>
      </c>
      <c r="U127" s="194">
        <f t="shared" si="29"/>
        <v>3696840</v>
      </c>
      <c r="V127" s="145">
        <f>SUM(J127:U127)</f>
        <v>40219830</v>
      </c>
      <c r="AA127" s="190">
        <v>2666000</v>
      </c>
      <c r="AB127" s="190">
        <v>2930000</v>
      </c>
      <c r="AC127" s="190">
        <v>3054000</v>
      </c>
      <c r="AD127" s="190">
        <v>3160000</v>
      </c>
      <c r="AE127" s="190">
        <v>3270000</v>
      </c>
      <c r="AF127" s="190">
        <v>3370000</v>
      </c>
      <c r="AG127" s="190">
        <v>3480000</v>
      </c>
      <c r="AH127" s="190">
        <v>3580000</v>
      </c>
      <c r="AI127" s="190">
        <v>3660000</v>
      </c>
      <c r="AJ127" s="190">
        <v>3700000</v>
      </c>
      <c r="AK127" s="190">
        <v>3700000</v>
      </c>
      <c r="AL127" s="2">
        <v>3700000</v>
      </c>
      <c r="AM127" s="158">
        <f>SUM(AA126:AL126)</f>
        <v>40219830</v>
      </c>
      <c r="AO127" s="203">
        <v>48600000</v>
      </c>
      <c r="AP127" s="145">
        <f>SUM(AO129)</f>
        <v>48600000</v>
      </c>
    </row>
    <row r="128" spans="1:42">
      <c r="J128" s="158">
        <f>$M125+J123</f>
        <v>2657990</v>
      </c>
      <c r="K128" s="158">
        <f>$M125+K123</f>
        <v>2658090</v>
      </c>
      <c r="L128" s="158">
        <f t="shared" ref="L128:U128" si="30">$M125+L123</f>
        <v>2658140</v>
      </c>
      <c r="M128" s="158">
        <f t="shared" si="30"/>
        <v>2658180</v>
      </c>
      <c r="N128" s="158">
        <f t="shared" si="30"/>
        <v>2658220</v>
      </c>
      <c r="O128" s="158">
        <f t="shared" si="30"/>
        <v>2658260</v>
      </c>
      <c r="P128" s="158">
        <f t="shared" si="30"/>
        <v>2658300</v>
      </c>
      <c r="Q128" s="158">
        <f t="shared" si="30"/>
        <v>2658340</v>
      </c>
      <c r="R128" s="158">
        <f t="shared" si="30"/>
        <v>2658370</v>
      </c>
      <c r="S128" s="158">
        <f t="shared" si="30"/>
        <v>2658385</v>
      </c>
      <c r="T128" s="158">
        <f t="shared" si="30"/>
        <v>2658385</v>
      </c>
      <c r="U128" s="158">
        <f t="shared" si="30"/>
        <v>2658385</v>
      </c>
      <c r="AA128" s="190">
        <f>SUM(AA114:AA122)</f>
        <v>2657990</v>
      </c>
      <c r="AB128" s="190">
        <f t="shared" ref="AB128:AL128" si="31">SUM(AB114:AB122)</f>
        <v>2657990</v>
      </c>
      <c r="AC128" s="190">
        <f t="shared" si="31"/>
        <v>2657990</v>
      </c>
      <c r="AD128" s="190">
        <f t="shared" si="31"/>
        <v>2657990</v>
      </c>
      <c r="AE128" s="190">
        <f t="shared" si="31"/>
        <v>2657990</v>
      </c>
      <c r="AF128" s="190">
        <f t="shared" si="31"/>
        <v>2657990</v>
      </c>
      <c r="AG128" s="190">
        <f t="shared" si="31"/>
        <v>2657990</v>
      </c>
      <c r="AH128" s="190">
        <f t="shared" si="31"/>
        <v>2657990</v>
      </c>
      <c r="AI128" s="190">
        <f t="shared" si="31"/>
        <v>2657990</v>
      </c>
      <c r="AJ128" s="190">
        <f t="shared" si="31"/>
        <v>2657990</v>
      </c>
      <c r="AK128" s="190">
        <f t="shared" si="31"/>
        <v>2657990</v>
      </c>
      <c r="AL128" s="190">
        <f t="shared" si="31"/>
        <v>2657990</v>
      </c>
    </row>
    <row r="129" spans="4:42">
      <c r="J129" s="145">
        <f>J123*$E123</f>
        <v>0</v>
      </c>
      <c r="K129" s="145">
        <f t="shared" ref="K129:U129" si="32">K123*$E123</f>
        <v>263000</v>
      </c>
      <c r="L129" s="145">
        <f t="shared" si="32"/>
        <v>394500</v>
      </c>
      <c r="M129" s="145">
        <f t="shared" si="32"/>
        <v>499700</v>
      </c>
      <c r="N129" s="145">
        <f t="shared" si="32"/>
        <v>604900</v>
      </c>
      <c r="O129" s="145">
        <f t="shared" si="32"/>
        <v>710100</v>
      </c>
      <c r="P129" s="145">
        <f t="shared" si="32"/>
        <v>815300</v>
      </c>
      <c r="Q129" s="145">
        <f t="shared" si="32"/>
        <v>920500</v>
      </c>
      <c r="R129" s="145">
        <f t="shared" si="32"/>
        <v>999400</v>
      </c>
      <c r="S129" s="145">
        <f t="shared" si="32"/>
        <v>1038850</v>
      </c>
      <c r="T129" s="145">
        <f t="shared" si="32"/>
        <v>1038850</v>
      </c>
      <c r="U129" s="145">
        <f t="shared" si="32"/>
        <v>1038850</v>
      </c>
      <c r="AO129" s="158">
        <f>SUM(AO127:AO128)</f>
        <v>48600000</v>
      </c>
      <c r="AP129" s="145">
        <f>SUM(AQ129:AR130)</f>
        <v>0</v>
      </c>
    </row>
    <row r="130" spans="4:42">
      <c r="J130" s="158">
        <f>SUM(J128:J129)</f>
        <v>2657990</v>
      </c>
      <c r="K130" s="158">
        <f t="shared" ref="K130:T130" si="33">SUM(K128:K129)</f>
        <v>2921090</v>
      </c>
      <c r="L130" s="158">
        <f t="shared" si="33"/>
        <v>3052640</v>
      </c>
      <c r="M130" s="158">
        <f t="shared" si="33"/>
        <v>3157880</v>
      </c>
      <c r="N130" s="158">
        <f t="shared" si="33"/>
        <v>3263120</v>
      </c>
      <c r="O130" s="158">
        <f t="shared" si="33"/>
        <v>3368360</v>
      </c>
      <c r="P130" s="158">
        <f t="shared" si="33"/>
        <v>3473600</v>
      </c>
      <c r="Q130" s="158">
        <f t="shared" si="33"/>
        <v>3578840</v>
      </c>
      <c r="R130" s="158">
        <f t="shared" si="33"/>
        <v>3657770</v>
      </c>
      <c r="S130" s="158">
        <f t="shared" si="33"/>
        <v>3697235</v>
      </c>
      <c r="T130" s="158">
        <f t="shared" si="33"/>
        <v>3697235</v>
      </c>
      <c r="U130" s="158">
        <f>SUM(U128:U129)</f>
        <v>3697235</v>
      </c>
      <c r="V130" s="158">
        <f>SUM(J130:U130)</f>
        <v>40222995</v>
      </c>
    </row>
    <row r="132" spans="4:42">
      <c r="R132" s="145">
        <f>SUM(J123:R123)</f>
        <v>1980</v>
      </c>
      <c r="T132" s="145">
        <f>SUM(J123:U123)</f>
        <v>3165</v>
      </c>
      <c r="AA132" s="190" t="s">
        <v>249</v>
      </c>
      <c r="AB132" s="190" t="s">
        <v>250</v>
      </c>
      <c r="AC132" s="190" t="s">
        <v>129</v>
      </c>
      <c r="AD132" s="190" t="s">
        <v>130</v>
      </c>
      <c r="AE132" s="190" t="s">
        <v>131</v>
      </c>
      <c r="AF132" s="190" t="s">
        <v>132</v>
      </c>
      <c r="AG132" s="190" t="s">
        <v>133</v>
      </c>
      <c r="AH132" s="190" t="s">
        <v>134</v>
      </c>
      <c r="AI132" s="190" t="s">
        <v>135</v>
      </c>
      <c r="AJ132" s="190" t="s">
        <v>136</v>
      </c>
      <c r="AK132" s="190" t="s">
        <v>137</v>
      </c>
      <c r="AL132" s="145" t="s">
        <v>138</v>
      </c>
      <c r="AM132" s="145" t="s">
        <v>156</v>
      </c>
    </row>
    <row r="133" spans="4:42">
      <c r="R133" s="145">
        <f>R132/9</f>
        <v>220</v>
      </c>
      <c r="T133" s="145">
        <f>T132/12</f>
        <v>263.75</v>
      </c>
      <c r="Z133" s="190" t="s">
        <v>291</v>
      </c>
    </row>
    <row r="134" spans="4:42">
      <c r="T134" s="145">
        <f>T133*2630</f>
        <v>693662.5</v>
      </c>
      <c r="Z134" s="190" t="s">
        <v>292</v>
      </c>
    </row>
    <row r="135" spans="4:42" ht="18.600000000000001" thickBot="1">
      <c r="Z135" s="190" t="s">
        <v>293</v>
      </c>
      <c r="AA135" s="190">
        <v>919800</v>
      </c>
      <c r="AB135" s="190">
        <v>919800</v>
      </c>
      <c r="AC135" s="190">
        <v>919800</v>
      </c>
      <c r="AD135" s="190">
        <v>919800</v>
      </c>
      <c r="AE135" s="190">
        <v>919800</v>
      </c>
      <c r="AF135" s="190">
        <v>919800</v>
      </c>
      <c r="AG135" s="190">
        <v>919800</v>
      </c>
      <c r="AH135" s="190">
        <v>919800</v>
      </c>
      <c r="AI135" s="190">
        <v>919800</v>
      </c>
      <c r="AJ135" s="190">
        <v>919800</v>
      </c>
      <c r="AK135" s="190">
        <v>919800</v>
      </c>
      <c r="AL135" s="145">
        <v>919800</v>
      </c>
      <c r="AM135" s="145">
        <v>11037600</v>
      </c>
    </row>
    <row r="136" spans="4:42" ht="18.600000000000001" thickTop="1">
      <c r="D136" s="209"/>
      <c r="E136" s="209"/>
      <c r="F136" s="210"/>
      <c r="Z136" s="190" t="s">
        <v>205</v>
      </c>
      <c r="AA136" s="190">
        <v>249750</v>
      </c>
      <c r="AB136" s="190">
        <v>249750</v>
      </c>
      <c r="AC136" s="190">
        <v>249750</v>
      </c>
      <c r="AD136" s="190">
        <v>249750</v>
      </c>
      <c r="AE136" s="190">
        <v>249750</v>
      </c>
      <c r="AF136" s="190">
        <v>249750</v>
      </c>
      <c r="AG136" s="190">
        <v>249750</v>
      </c>
      <c r="AH136" s="190">
        <v>249750</v>
      </c>
      <c r="AI136" s="190">
        <v>249750</v>
      </c>
      <c r="AJ136" s="190">
        <v>249750</v>
      </c>
      <c r="AK136" s="190">
        <v>249750</v>
      </c>
      <c r="AL136" s="145">
        <v>249750</v>
      </c>
      <c r="AM136" s="145">
        <v>2997000</v>
      </c>
    </row>
    <row r="137" spans="4:42">
      <c r="F137" s="159"/>
      <c r="Z137" s="190" t="s">
        <v>259</v>
      </c>
      <c r="AA137" s="190">
        <v>22200</v>
      </c>
      <c r="AB137" s="190">
        <v>22200</v>
      </c>
      <c r="AC137" s="190">
        <v>22200</v>
      </c>
      <c r="AD137" s="190">
        <v>22200</v>
      </c>
      <c r="AE137" s="190">
        <v>22200</v>
      </c>
      <c r="AF137" s="190">
        <v>22200</v>
      </c>
      <c r="AG137" s="190">
        <v>22200</v>
      </c>
      <c r="AH137" s="190">
        <v>22200</v>
      </c>
      <c r="AI137" s="190">
        <v>22200</v>
      </c>
      <c r="AJ137" s="190">
        <v>22200</v>
      </c>
      <c r="AK137" s="190">
        <v>22200</v>
      </c>
      <c r="AL137" s="145">
        <v>22200</v>
      </c>
      <c r="AM137" s="145">
        <v>266400</v>
      </c>
    </row>
    <row r="138" spans="4:42">
      <c r="D138" s="145" t="s">
        <v>257</v>
      </c>
      <c r="E138" s="145">
        <v>219</v>
      </c>
      <c r="F138" s="159">
        <v>4200</v>
      </c>
      <c r="G138" s="145">
        <f t="shared" ref="G138:G144" si="34">F138*E138</f>
        <v>919800</v>
      </c>
      <c r="Z138" s="190" t="s">
        <v>260</v>
      </c>
      <c r="AA138" s="190">
        <v>21830</v>
      </c>
      <c r="AB138" s="190">
        <v>21830</v>
      </c>
      <c r="AC138" s="190">
        <v>21830</v>
      </c>
      <c r="AD138" s="190">
        <v>21830</v>
      </c>
      <c r="AE138" s="190">
        <v>21830</v>
      </c>
      <c r="AF138" s="190">
        <v>21830</v>
      </c>
      <c r="AG138" s="190">
        <v>21830</v>
      </c>
      <c r="AH138" s="190">
        <v>21830</v>
      </c>
      <c r="AI138" s="190">
        <v>21830</v>
      </c>
      <c r="AJ138" s="190">
        <v>21830</v>
      </c>
      <c r="AK138" s="190">
        <v>21830</v>
      </c>
      <c r="AL138" s="145">
        <v>21830</v>
      </c>
      <c r="AM138" s="145">
        <v>261960</v>
      </c>
    </row>
    <row r="139" spans="4:42">
      <c r="D139" s="145" t="s">
        <v>205</v>
      </c>
      <c r="E139" s="145">
        <v>37</v>
      </c>
      <c r="F139" s="159">
        <v>6750</v>
      </c>
      <c r="G139" s="145">
        <f t="shared" si="34"/>
        <v>249750</v>
      </c>
      <c r="I139" s="215">
        <v>395</v>
      </c>
      <c r="J139" s="145">
        <v>2630</v>
      </c>
      <c r="K139" s="145">
        <f>I139*J139</f>
        <v>1038850</v>
      </c>
      <c r="L139" s="145">
        <f>K139*12</f>
        <v>12466200</v>
      </c>
      <c r="Z139" s="190" t="s">
        <v>261</v>
      </c>
      <c r="AA139" s="190">
        <v>10540</v>
      </c>
      <c r="AB139" s="190">
        <v>10540</v>
      </c>
      <c r="AC139" s="190">
        <v>10540</v>
      </c>
      <c r="AD139" s="190">
        <v>10540</v>
      </c>
      <c r="AE139" s="190">
        <v>10540</v>
      </c>
      <c r="AF139" s="190">
        <v>10540</v>
      </c>
      <c r="AG139" s="190">
        <v>10540</v>
      </c>
      <c r="AH139" s="190">
        <v>10540</v>
      </c>
      <c r="AI139" s="190">
        <v>10540</v>
      </c>
      <c r="AJ139" s="190">
        <v>10540</v>
      </c>
      <c r="AK139" s="190">
        <v>10540</v>
      </c>
      <c r="AL139" s="145">
        <v>10540</v>
      </c>
      <c r="AM139" s="145">
        <v>126480</v>
      </c>
    </row>
    <row r="140" spans="4:42">
      <c r="D140" s="145" t="s">
        <v>261</v>
      </c>
      <c r="E140" s="145">
        <v>2</v>
      </c>
      <c r="F140" s="159">
        <v>5270</v>
      </c>
      <c r="G140" s="145">
        <f t="shared" si="34"/>
        <v>10540</v>
      </c>
      <c r="Z140" s="190" t="s">
        <v>262</v>
      </c>
      <c r="AA140" s="190">
        <v>11070</v>
      </c>
      <c r="AB140" s="190">
        <v>11070</v>
      </c>
      <c r="AC140" s="190">
        <v>11070</v>
      </c>
      <c r="AD140" s="190">
        <v>11070</v>
      </c>
      <c r="AE140" s="190">
        <v>11070</v>
      </c>
      <c r="AF140" s="190">
        <v>11070</v>
      </c>
      <c r="AG140" s="190">
        <v>11070</v>
      </c>
      <c r="AH140" s="190">
        <v>11070</v>
      </c>
      <c r="AI140" s="190">
        <v>11070</v>
      </c>
      <c r="AJ140" s="190">
        <v>11070</v>
      </c>
      <c r="AK140" s="190">
        <v>11070</v>
      </c>
      <c r="AL140" s="145">
        <v>11070</v>
      </c>
      <c r="AM140" s="145">
        <v>132840</v>
      </c>
    </row>
    <row r="141" spans="4:42">
      <c r="D141" s="145" t="s">
        <v>262</v>
      </c>
      <c r="E141" s="145">
        <v>3</v>
      </c>
      <c r="F141" s="159">
        <v>3690</v>
      </c>
      <c r="G141" s="145">
        <f t="shared" si="34"/>
        <v>11070</v>
      </c>
      <c r="Z141" s="190" t="s">
        <v>263</v>
      </c>
      <c r="AA141" s="190">
        <v>731500</v>
      </c>
      <c r="AB141" s="190">
        <v>731500</v>
      </c>
      <c r="AC141" s="190">
        <v>731500</v>
      </c>
      <c r="AD141" s="190">
        <v>731500</v>
      </c>
      <c r="AE141" s="190">
        <v>731500</v>
      </c>
      <c r="AF141" s="190">
        <v>731500</v>
      </c>
      <c r="AG141" s="190">
        <v>731500</v>
      </c>
      <c r="AH141" s="190">
        <v>731500</v>
      </c>
      <c r="AI141" s="190">
        <v>731500</v>
      </c>
      <c r="AJ141" s="190">
        <v>731500</v>
      </c>
      <c r="AK141" s="190">
        <v>731500</v>
      </c>
      <c r="AL141" s="145">
        <v>731500</v>
      </c>
      <c r="AM141" s="145">
        <v>8778000</v>
      </c>
    </row>
    <row r="142" spans="4:42">
      <c r="D142" s="145" t="s">
        <v>263</v>
      </c>
      <c r="E142" s="145">
        <v>190</v>
      </c>
      <c r="F142" s="159">
        <v>3850</v>
      </c>
      <c r="G142" s="145">
        <f t="shared" si="34"/>
        <v>731500</v>
      </c>
      <c r="Z142" s="190" t="s">
        <v>282</v>
      </c>
      <c r="AA142" s="190">
        <v>360900</v>
      </c>
      <c r="AB142" s="190">
        <v>360900</v>
      </c>
      <c r="AC142" s="190">
        <v>360900</v>
      </c>
      <c r="AD142" s="190">
        <v>360900</v>
      </c>
      <c r="AE142" s="190">
        <v>360900</v>
      </c>
      <c r="AF142" s="190">
        <v>360900</v>
      </c>
      <c r="AG142" s="190">
        <v>360900</v>
      </c>
      <c r="AH142" s="190">
        <v>360900</v>
      </c>
      <c r="AI142" s="190">
        <v>360900</v>
      </c>
      <c r="AJ142" s="190">
        <v>360900</v>
      </c>
      <c r="AK142" s="190">
        <v>360900</v>
      </c>
      <c r="AL142" s="145">
        <v>360900</v>
      </c>
      <c r="AM142" s="145">
        <v>4330800</v>
      </c>
    </row>
    <row r="143" spans="4:42">
      <c r="D143" s="145" t="s">
        <v>264</v>
      </c>
      <c r="E143" s="211">
        <v>90</v>
      </c>
      <c r="F143" s="159">
        <v>4010</v>
      </c>
      <c r="G143" s="145">
        <f t="shared" si="34"/>
        <v>360900</v>
      </c>
      <c r="Z143" s="190" t="s">
        <v>204</v>
      </c>
      <c r="AA143" s="190">
        <v>330400</v>
      </c>
      <c r="AB143" s="190">
        <v>330400</v>
      </c>
      <c r="AC143" s="190">
        <v>330400</v>
      </c>
      <c r="AD143" s="190">
        <v>330400</v>
      </c>
      <c r="AE143" s="190">
        <v>330400</v>
      </c>
      <c r="AF143" s="190">
        <v>330400</v>
      </c>
      <c r="AG143" s="190">
        <v>330400</v>
      </c>
      <c r="AH143" s="190">
        <v>330400</v>
      </c>
      <c r="AI143" s="190">
        <v>330400</v>
      </c>
      <c r="AJ143" s="190">
        <v>330400</v>
      </c>
      <c r="AK143" s="190">
        <v>330400</v>
      </c>
      <c r="AL143" s="145">
        <v>330400</v>
      </c>
      <c r="AM143" s="145">
        <v>3964800</v>
      </c>
    </row>
    <row r="144" spans="4:42" ht="18.600000000000001" thickBot="1">
      <c r="D144" s="212" t="s">
        <v>266</v>
      </c>
      <c r="E144" s="213">
        <v>80</v>
      </c>
      <c r="F144" s="214">
        <v>4130</v>
      </c>
      <c r="G144" s="145">
        <f t="shared" si="34"/>
        <v>330400</v>
      </c>
      <c r="AA144" s="190">
        <f t="shared" ref="AA144:AL144" si="35">J123*4130</f>
        <v>0</v>
      </c>
      <c r="AB144" s="190">
        <f t="shared" si="35"/>
        <v>413000</v>
      </c>
      <c r="AC144" s="190">
        <f t="shared" si="35"/>
        <v>619500</v>
      </c>
      <c r="AD144" s="190">
        <f t="shared" si="35"/>
        <v>784700</v>
      </c>
      <c r="AE144" s="190">
        <f t="shared" si="35"/>
        <v>949900</v>
      </c>
      <c r="AF144" s="190">
        <f t="shared" si="35"/>
        <v>1115100</v>
      </c>
      <c r="AG144" s="190">
        <f t="shared" si="35"/>
        <v>1280300</v>
      </c>
      <c r="AH144" s="190">
        <f t="shared" si="35"/>
        <v>1445500</v>
      </c>
      <c r="AI144" s="190">
        <f t="shared" si="35"/>
        <v>1569400</v>
      </c>
      <c r="AJ144" s="190">
        <f t="shared" si="35"/>
        <v>1631350</v>
      </c>
      <c r="AK144" s="190">
        <f t="shared" si="35"/>
        <v>1631350</v>
      </c>
      <c r="AL144" s="2">
        <f t="shared" si="35"/>
        <v>1631350</v>
      </c>
      <c r="AM144" s="158">
        <f>SUM(AA144:AL144)</f>
        <v>13071450</v>
      </c>
    </row>
    <row r="145" spans="5:39" ht="18.600000000000001" thickTop="1">
      <c r="E145" s="145">
        <f>SUM(E138:E144)</f>
        <v>621</v>
      </c>
      <c r="F145" s="158">
        <f>SUM(F138:F144)</f>
        <v>31900</v>
      </c>
      <c r="G145" s="145">
        <f>SUM(G138:G144)</f>
        <v>2613960</v>
      </c>
      <c r="H145" s="145">
        <f>G145*12</f>
        <v>31367520</v>
      </c>
      <c r="L145" s="145">
        <f>H145+L139</f>
        <v>43833720</v>
      </c>
      <c r="AB145" s="190">
        <f>AB149*-1370</f>
        <v>-137000</v>
      </c>
      <c r="AC145" s="190">
        <f t="shared" ref="AC145:AK145" si="36">AC149*-1370</f>
        <v>-205500</v>
      </c>
      <c r="AD145" s="190">
        <f t="shared" si="36"/>
        <v>-260300</v>
      </c>
      <c r="AE145" s="190">
        <f t="shared" si="36"/>
        <v>-315100</v>
      </c>
      <c r="AF145" s="190">
        <f t="shared" si="36"/>
        <v>-342500</v>
      </c>
      <c r="AG145" s="190">
        <f t="shared" si="36"/>
        <v>-342500</v>
      </c>
      <c r="AH145" s="190">
        <f t="shared" si="36"/>
        <v>-342500</v>
      </c>
      <c r="AI145" s="190">
        <f t="shared" si="36"/>
        <v>-342500</v>
      </c>
      <c r="AJ145" s="190">
        <f t="shared" si="36"/>
        <v>-342500</v>
      </c>
      <c r="AK145" s="190">
        <f t="shared" si="36"/>
        <v>-342500</v>
      </c>
      <c r="AL145" s="190">
        <f>AL149*-1370</f>
        <v>-342500</v>
      </c>
      <c r="AM145" s="145">
        <f>SUM(AM135:AM144)</f>
        <v>44967330</v>
      </c>
    </row>
    <row r="146" spans="5:39">
      <c r="G146" s="145">
        <f>G145/E145</f>
        <v>4209.275362318841</v>
      </c>
      <c r="H146" s="145">
        <f>G146*12</f>
        <v>50511.304347826095</v>
      </c>
      <c r="AA146" s="190">
        <f>SUM(AA135:AA145)</f>
        <v>2657990</v>
      </c>
      <c r="AB146" s="190">
        <f t="shared" ref="AB146:AL146" si="37">SUM(AB135:AB145)</f>
        <v>2933990</v>
      </c>
      <c r="AC146" s="190">
        <f t="shared" si="37"/>
        <v>3071990</v>
      </c>
      <c r="AD146" s="190">
        <f t="shared" si="37"/>
        <v>3182390</v>
      </c>
      <c r="AE146" s="190">
        <f t="shared" si="37"/>
        <v>3292790</v>
      </c>
      <c r="AF146" s="190">
        <f t="shared" si="37"/>
        <v>3430590</v>
      </c>
      <c r="AG146" s="190">
        <f t="shared" si="37"/>
        <v>3595790</v>
      </c>
      <c r="AH146" s="190">
        <f t="shared" si="37"/>
        <v>3760990</v>
      </c>
      <c r="AI146" s="190">
        <f t="shared" si="37"/>
        <v>3884890</v>
      </c>
      <c r="AJ146" s="190">
        <f t="shared" si="37"/>
        <v>3946840</v>
      </c>
      <c r="AK146" s="190">
        <f t="shared" si="37"/>
        <v>3946840</v>
      </c>
      <c r="AL146" s="190">
        <f t="shared" si="37"/>
        <v>3946840</v>
      </c>
      <c r="AM146" s="158">
        <f>SUM(AA146:AL146)</f>
        <v>41651930</v>
      </c>
    </row>
    <row r="147" spans="5:39">
      <c r="V147" s="145">
        <f>4000-2630</f>
        <v>1370</v>
      </c>
    </row>
    <row r="149" spans="5:39">
      <c r="AA149" s="145">
        <v>0</v>
      </c>
      <c r="AB149" s="145">
        <v>100</v>
      </c>
      <c r="AC149" s="145">
        <v>150</v>
      </c>
      <c r="AD149" s="145">
        <v>190</v>
      </c>
      <c r="AE149" s="145">
        <v>230</v>
      </c>
      <c r="AF149" s="145">
        <v>250</v>
      </c>
      <c r="AG149" s="145">
        <v>250</v>
      </c>
      <c r="AH149" s="145">
        <v>250</v>
      </c>
      <c r="AI149" s="145">
        <v>250</v>
      </c>
      <c r="AJ149" s="145">
        <v>250</v>
      </c>
      <c r="AK149" s="145">
        <v>250</v>
      </c>
      <c r="AL149" s="145">
        <v>250</v>
      </c>
    </row>
    <row r="152" spans="5:39">
      <c r="AA152" s="190" t="s">
        <v>249</v>
      </c>
      <c r="AB152" s="190" t="s">
        <v>250</v>
      </c>
      <c r="AC152" s="190" t="s">
        <v>129</v>
      </c>
      <c r="AD152" s="190" t="s">
        <v>130</v>
      </c>
      <c r="AE152" s="190" t="s">
        <v>131</v>
      </c>
      <c r="AF152" s="190" t="s">
        <v>132</v>
      </c>
      <c r="AG152" s="190" t="s">
        <v>133</v>
      </c>
      <c r="AH152" s="190" t="s">
        <v>134</v>
      </c>
      <c r="AI152" s="190" t="s">
        <v>135</v>
      </c>
      <c r="AJ152" s="190" t="s">
        <v>136</v>
      </c>
      <c r="AK152" s="190" t="s">
        <v>137</v>
      </c>
      <c r="AL152" s="145" t="s">
        <v>138</v>
      </c>
      <c r="AM152" s="145" t="s">
        <v>156</v>
      </c>
    </row>
    <row r="153" spans="5:39">
      <c r="Z153" s="190" t="s">
        <v>291</v>
      </c>
    </row>
    <row r="154" spans="5:39">
      <c r="Z154" s="190" t="s">
        <v>292</v>
      </c>
    </row>
    <row r="155" spans="5:39">
      <c r="Z155" s="190" t="s">
        <v>293</v>
      </c>
      <c r="AA155" s="190">
        <v>919800</v>
      </c>
      <c r="AB155" s="190">
        <v>919800</v>
      </c>
      <c r="AC155" s="190">
        <v>919800</v>
      </c>
      <c r="AD155" s="190">
        <v>919800</v>
      </c>
      <c r="AE155" s="190">
        <v>919800</v>
      </c>
      <c r="AF155" s="190">
        <v>919800</v>
      </c>
      <c r="AG155" s="190">
        <v>919800</v>
      </c>
      <c r="AH155" s="190">
        <v>919800</v>
      </c>
      <c r="AI155" s="190">
        <v>919800</v>
      </c>
      <c r="AJ155" s="190">
        <v>919800</v>
      </c>
      <c r="AK155" s="190">
        <v>919800</v>
      </c>
      <c r="AL155" s="145">
        <v>919800</v>
      </c>
      <c r="AM155" s="145">
        <v>11037600</v>
      </c>
    </row>
    <row r="156" spans="5:39">
      <c r="Z156" s="190" t="s">
        <v>205</v>
      </c>
      <c r="AA156" s="190">
        <v>249750</v>
      </c>
      <c r="AB156" s="190">
        <v>249750</v>
      </c>
      <c r="AC156" s="190">
        <v>249750</v>
      </c>
      <c r="AD156" s="190">
        <v>249750</v>
      </c>
      <c r="AE156" s="190">
        <v>249750</v>
      </c>
      <c r="AF156" s="190">
        <v>249750</v>
      </c>
      <c r="AG156" s="190">
        <v>249750</v>
      </c>
      <c r="AH156" s="190">
        <v>249750</v>
      </c>
      <c r="AI156" s="190">
        <v>249750</v>
      </c>
      <c r="AJ156" s="190">
        <v>249750</v>
      </c>
      <c r="AK156" s="190">
        <v>249750</v>
      </c>
      <c r="AL156" s="145">
        <v>249750</v>
      </c>
      <c r="AM156" s="145">
        <v>2997000</v>
      </c>
    </row>
    <row r="157" spans="5:39">
      <c r="Z157" s="190" t="s">
        <v>259</v>
      </c>
      <c r="AA157" s="190">
        <v>22200</v>
      </c>
      <c r="AB157" s="190">
        <v>22200</v>
      </c>
      <c r="AC157" s="190">
        <v>22200</v>
      </c>
      <c r="AD157" s="190">
        <v>22200</v>
      </c>
      <c r="AE157" s="190">
        <v>22200</v>
      </c>
      <c r="AF157" s="190">
        <v>22200</v>
      </c>
      <c r="AG157" s="190">
        <v>22200</v>
      </c>
      <c r="AH157" s="190">
        <v>22200</v>
      </c>
      <c r="AI157" s="190">
        <v>22200</v>
      </c>
      <c r="AJ157" s="190">
        <v>22200</v>
      </c>
      <c r="AK157" s="190">
        <v>22200</v>
      </c>
      <c r="AL157" s="145">
        <v>22200</v>
      </c>
      <c r="AM157" s="145">
        <v>266400</v>
      </c>
    </row>
    <row r="158" spans="5:39">
      <c r="Z158" s="190" t="s">
        <v>260</v>
      </c>
      <c r="AA158" s="190">
        <v>21830</v>
      </c>
      <c r="AB158" s="190">
        <v>21830</v>
      </c>
      <c r="AC158" s="190">
        <v>21830</v>
      </c>
      <c r="AD158" s="190">
        <v>21830</v>
      </c>
      <c r="AE158" s="190">
        <v>21830</v>
      </c>
      <c r="AF158" s="190">
        <v>21830</v>
      </c>
      <c r="AG158" s="190">
        <v>21830</v>
      </c>
      <c r="AH158" s="190">
        <v>21830</v>
      </c>
      <c r="AI158" s="190">
        <v>21830</v>
      </c>
      <c r="AJ158" s="190">
        <v>21830</v>
      </c>
      <c r="AK158" s="190">
        <v>21830</v>
      </c>
      <c r="AL158" s="145">
        <v>21830</v>
      </c>
      <c r="AM158" s="145">
        <v>261960</v>
      </c>
    </row>
    <row r="159" spans="5:39">
      <c r="Z159" s="190" t="s">
        <v>261</v>
      </c>
      <c r="AA159" s="190">
        <v>10540</v>
      </c>
      <c r="AB159" s="190">
        <v>10540</v>
      </c>
      <c r="AC159" s="190">
        <v>10540</v>
      </c>
      <c r="AD159" s="190">
        <v>10540</v>
      </c>
      <c r="AE159" s="190">
        <v>10540</v>
      </c>
      <c r="AF159" s="190">
        <v>10540</v>
      </c>
      <c r="AG159" s="190">
        <v>10540</v>
      </c>
      <c r="AH159" s="190">
        <v>10540</v>
      </c>
      <c r="AI159" s="190">
        <v>10540</v>
      </c>
      <c r="AJ159" s="190">
        <v>10540</v>
      </c>
      <c r="AK159" s="190">
        <v>10540</v>
      </c>
      <c r="AL159" s="145">
        <v>10540</v>
      </c>
      <c r="AM159" s="145">
        <v>126480</v>
      </c>
    </row>
    <row r="160" spans="5:39">
      <c r="Z160" s="190" t="s">
        <v>262</v>
      </c>
      <c r="AA160" s="190">
        <v>11070</v>
      </c>
      <c r="AB160" s="190">
        <v>11070</v>
      </c>
      <c r="AC160" s="190">
        <v>11070</v>
      </c>
      <c r="AD160" s="190">
        <v>11070</v>
      </c>
      <c r="AE160" s="190">
        <v>11070</v>
      </c>
      <c r="AF160" s="190">
        <v>11070</v>
      </c>
      <c r="AG160" s="190">
        <v>11070</v>
      </c>
      <c r="AH160" s="190">
        <v>11070</v>
      </c>
      <c r="AI160" s="190">
        <v>11070</v>
      </c>
      <c r="AJ160" s="190">
        <v>11070</v>
      </c>
      <c r="AK160" s="190">
        <v>11070</v>
      </c>
      <c r="AL160" s="145">
        <v>11070</v>
      </c>
      <c r="AM160" s="145">
        <v>132840</v>
      </c>
    </row>
    <row r="161" spans="26:39">
      <c r="Z161" s="190" t="s">
        <v>263</v>
      </c>
      <c r="AA161" s="190">
        <v>731500</v>
      </c>
      <c r="AB161" s="190">
        <v>731500</v>
      </c>
      <c r="AC161" s="190">
        <v>731500</v>
      </c>
      <c r="AD161" s="190">
        <v>731500</v>
      </c>
      <c r="AE161" s="190">
        <v>731500</v>
      </c>
      <c r="AF161" s="190">
        <v>731500</v>
      </c>
      <c r="AG161" s="190">
        <v>731500</v>
      </c>
      <c r="AH161" s="190">
        <v>731500</v>
      </c>
      <c r="AI161" s="190">
        <v>731500</v>
      </c>
      <c r="AJ161" s="190">
        <v>731500</v>
      </c>
      <c r="AK161" s="190">
        <v>731500</v>
      </c>
      <c r="AL161" s="145">
        <v>731500</v>
      </c>
      <c r="AM161" s="145">
        <v>8778000</v>
      </c>
    </row>
    <row r="162" spans="26:39">
      <c r="Z162" s="190" t="s">
        <v>282</v>
      </c>
      <c r="AA162" s="190">
        <v>360900</v>
      </c>
      <c r="AB162" s="190">
        <v>360900</v>
      </c>
      <c r="AC162" s="190">
        <v>360900</v>
      </c>
      <c r="AD162" s="190">
        <v>360900</v>
      </c>
      <c r="AE162" s="190">
        <v>360900</v>
      </c>
      <c r="AF162" s="190">
        <v>360900</v>
      </c>
      <c r="AG162" s="190">
        <v>360900</v>
      </c>
      <c r="AH162" s="190">
        <v>360900</v>
      </c>
      <c r="AI162" s="190">
        <v>360900</v>
      </c>
      <c r="AJ162" s="190">
        <v>360900</v>
      </c>
      <c r="AK162" s="190">
        <v>360900</v>
      </c>
      <c r="AL162" s="145">
        <v>360900</v>
      </c>
      <c r="AM162" s="145">
        <v>4330800</v>
      </c>
    </row>
    <row r="163" spans="26:39">
      <c r="Z163" s="190" t="s">
        <v>204</v>
      </c>
      <c r="AA163" s="190">
        <v>330400</v>
      </c>
      <c r="AB163" s="190">
        <v>330400</v>
      </c>
      <c r="AC163" s="190">
        <v>330400</v>
      </c>
      <c r="AD163" s="190">
        <v>330400</v>
      </c>
      <c r="AE163" s="190">
        <v>330400</v>
      </c>
      <c r="AF163" s="190">
        <v>330400</v>
      </c>
      <c r="AG163" s="190">
        <v>330400</v>
      </c>
      <c r="AH163" s="190">
        <v>330400</v>
      </c>
      <c r="AI163" s="190">
        <v>330400</v>
      </c>
      <c r="AJ163" s="190">
        <v>330400</v>
      </c>
      <c r="AK163" s="190">
        <v>330400</v>
      </c>
      <c r="AL163" s="145">
        <v>330400</v>
      </c>
      <c r="AM163" s="145">
        <v>3964800</v>
      </c>
    </row>
    <row r="164" spans="26:39">
      <c r="AA164" s="190">
        <v>0</v>
      </c>
      <c r="AB164" s="190">
        <v>263000</v>
      </c>
      <c r="AC164" s="190">
        <v>394500</v>
      </c>
      <c r="AD164" s="190">
        <v>499700</v>
      </c>
      <c r="AE164" s="190">
        <v>604900</v>
      </c>
      <c r="AF164" s="190">
        <v>710100</v>
      </c>
      <c r="AG164" s="190">
        <v>815300</v>
      </c>
      <c r="AH164" s="190">
        <v>920500</v>
      </c>
      <c r="AI164" s="190">
        <v>999400</v>
      </c>
      <c r="AJ164" s="190">
        <v>1038850</v>
      </c>
      <c r="AK164" s="190">
        <v>1038850</v>
      </c>
      <c r="AL164" s="145">
        <v>1038850</v>
      </c>
      <c r="AM164" s="145">
        <v>8323950</v>
      </c>
    </row>
    <row r="165" spans="26:39">
      <c r="AB165" s="190">
        <v>-137000</v>
      </c>
      <c r="AC165" s="190">
        <v>-205500</v>
      </c>
      <c r="AD165" s="190">
        <v>-260300</v>
      </c>
      <c r="AE165" s="190">
        <v>-315100</v>
      </c>
      <c r="AF165" s="190">
        <v>-342500</v>
      </c>
      <c r="AG165" s="190">
        <v>-342500</v>
      </c>
      <c r="AH165" s="190">
        <v>-342500</v>
      </c>
      <c r="AI165" s="190">
        <v>-342500</v>
      </c>
      <c r="AJ165" s="190">
        <v>-342500</v>
      </c>
      <c r="AK165" s="190">
        <v>-342500</v>
      </c>
      <c r="AL165" s="145">
        <v>-342500</v>
      </c>
      <c r="AM165" s="145">
        <v>40219830</v>
      </c>
    </row>
    <row r="166" spans="26:39">
      <c r="AA166" s="190">
        <f>SUM(AA155:AA165)</f>
        <v>2657990</v>
      </c>
      <c r="AB166" s="190">
        <f t="shared" ref="AB166:AL166" si="38">SUM(AB155:AB165)</f>
        <v>2783990</v>
      </c>
      <c r="AC166" s="190">
        <f t="shared" si="38"/>
        <v>2846990</v>
      </c>
      <c r="AD166" s="190">
        <f t="shared" si="38"/>
        <v>2897390</v>
      </c>
      <c r="AE166" s="190">
        <f t="shared" si="38"/>
        <v>2947790</v>
      </c>
      <c r="AF166" s="190">
        <f t="shared" si="38"/>
        <v>3025590</v>
      </c>
      <c r="AG166" s="190">
        <f t="shared" si="38"/>
        <v>3130790</v>
      </c>
      <c r="AH166" s="190">
        <f t="shared" si="38"/>
        <v>3235990</v>
      </c>
      <c r="AI166" s="190">
        <f t="shared" si="38"/>
        <v>3314890</v>
      </c>
      <c r="AJ166" s="190">
        <f t="shared" si="38"/>
        <v>3354340</v>
      </c>
      <c r="AK166" s="190">
        <f t="shared" si="38"/>
        <v>3354340</v>
      </c>
      <c r="AL166" s="190">
        <f t="shared" si="38"/>
        <v>3354340</v>
      </c>
      <c r="AM166" s="158">
        <f>SUM(AA166:AL166)</f>
        <v>36904430</v>
      </c>
    </row>
  </sheetData>
  <phoneticPr fontId="6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07C6-C664-4768-AE82-6C849C61D23C}">
  <sheetPr>
    <tabColor theme="4"/>
  </sheetPr>
  <dimension ref="A1:AP166"/>
  <sheetViews>
    <sheetView topLeftCell="F125" zoomScale="70" zoomScaleNormal="70" workbookViewId="0">
      <selection activeCell="K20" sqref="K20"/>
    </sheetView>
  </sheetViews>
  <sheetFormatPr defaultColWidth="8.75" defaultRowHeight="18"/>
  <cols>
    <col min="1" max="1" width="18.25" style="218" bestFit="1" customWidth="1"/>
    <col min="2" max="2" width="18.5" style="218" customWidth="1"/>
    <col min="3" max="3" width="18.75" style="218" bestFit="1" customWidth="1"/>
    <col min="4" max="4" width="9.125" style="218" bestFit="1" customWidth="1"/>
    <col min="5" max="5" width="8.75" style="218" bestFit="1"/>
    <col min="6" max="6" width="11" style="218" bestFit="1" customWidth="1"/>
    <col min="7" max="7" width="8.875" style="218" bestFit="1" customWidth="1"/>
    <col min="8" max="8" width="13.25" style="218" customWidth="1"/>
    <col min="9" max="9" width="7.75" style="218" customWidth="1"/>
    <col min="10" max="21" width="10.125" style="218" customWidth="1"/>
    <col min="22" max="22" width="16.375" style="218" customWidth="1"/>
    <col min="23" max="23" width="10.625" style="218" bestFit="1" customWidth="1"/>
    <col min="24" max="25" width="12.375" style="2" customWidth="1"/>
    <col min="26" max="26" width="16.5" style="2" customWidth="1"/>
    <col min="27" max="37" width="11.375" style="2" customWidth="1"/>
    <col min="38" max="39" width="11.375" style="218" customWidth="1"/>
    <col min="40" max="40" width="8.75" style="218" bestFit="1"/>
    <col min="41" max="41" width="11.75" style="218" bestFit="1" customWidth="1"/>
    <col min="42" max="16384" width="8.75" style="218"/>
  </cols>
  <sheetData>
    <row r="1" spans="1:22">
      <c r="C1" s="218" t="s">
        <v>236</v>
      </c>
      <c r="D1" s="218" t="s">
        <v>237</v>
      </c>
      <c r="F1" s="218">
        <v>235</v>
      </c>
    </row>
    <row r="2" spans="1:22">
      <c r="D2" s="218" t="s">
        <v>238</v>
      </c>
      <c r="F2" s="218">
        <v>100</v>
      </c>
    </row>
    <row r="3" spans="1:22">
      <c r="D3" s="218" t="s">
        <v>239</v>
      </c>
      <c r="F3" s="218">
        <v>10</v>
      </c>
    </row>
    <row r="4" spans="1:22">
      <c r="D4" s="218" t="s">
        <v>7</v>
      </c>
      <c r="F4" s="218">
        <v>50</v>
      </c>
    </row>
    <row r="5" spans="1:22">
      <c r="E5" s="218" t="s">
        <v>139</v>
      </c>
      <c r="F5" s="218">
        <f>SUM(F1:F4)</f>
        <v>395</v>
      </c>
    </row>
    <row r="6" spans="1:22">
      <c r="R6" s="218">
        <v>695</v>
      </c>
      <c r="S6" s="218">
        <v>50</v>
      </c>
    </row>
    <row r="7" spans="1:22">
      <c r="A7" s="218" t="s">
        <v>240</v>
      </c>
    </row>
    <row r="9" spans="1:22">
      <c r="A9" s="218" t="s">
        <v>241</v>
      </c>
      <c r="V9" s="219"/>
    </row>
    <row r="10" spans="1:22" ht="18.600000000000001" thickBot="1">
      <c r="A10" s="218" t="s">
        <v>242</v>
      </c>
      <c r="B10" s="218" t="s">
        <v>243</v>
      </c>
      <c r="C10" s="218" t="s">
        <v>244</v>
      </c>
      <c r="D10" s="218" t="s">
        <v>245</v>
      </c>
      <c r="E10" s="218" t="s">
        <v>246</v>
      </c>
      <c r="F10" s="218" t="s">
        <v>237</v>
      </c>
      <c r="G10" s="218" t="s">
        <v>247</v>
      </c>
      <c r="H10" s="218" t="s">
        <v>248</v>
      </c>
      <c r="I10" s="218" t="s">
        <v>7</v>
      </c>
      <c r="J10" s="218" t="s">
        <v>249</v>
      </c>
      <c r="K10" s="218" t="s">
        <v>250</v>
      </c>
      <c r="L10" s="218" t="s">
        <v>129</v>
      </c>
      <c r="M10" s="218" t="s">
        <v>130</v>
      </c>
      <c r="N10" s="218" t="s">
        <v>131</v>
      </c>
      <c r="O10" s="218" t="s">
        <v>132</v>
      </c>
      <c r="P10" s="218" t="s">
        <v>133</v>
      </c>
      <c r="Q10" s="218" t="s">
        <v>134</v>
      </c>
      <c r="R10" s="218" t="s">
        <v>135</v>
      </c>
      <c r="S10" s="218" t="s">
        <v>136</v>
      </c>
      <c r="T10" s="218" t="s">
        <v>137</v>
      </c>
      <c r="U10" s="218" t="s">
        <v>138</v>
      </c>
      <c r="V10" s="219" t="s">
        <v>251</v>
      </c>
    </row>
    <row r="11" spans="1:22" ht="18.600000000000001" thickTop="1">
      <c r="A11" s="209" t="s">
        <v>252</v>
      </c>
      <c r="B11" s="209" t="s">
        <v>253</v>
      </c>
      <c r="C11" s="209" t="s">
        <v>254</v>
      </c>
      <c r="D11" s="209">
        <v>0</v>
      </c>
      <c r="E11" s="210">
        <v>4030</v>
      </c>
      <c r="F11" s="220"/>
      <c r="G11" s="209"/>
      <c r="H11" s="209"/>
      <c r="I11" s="209"/>
      <c r="J11" s="209">
        <v>0</v>
      </c>
      <c r="K11" s="209">
        <v>0</v>
      </c>
      <c r="L11" s="209">
        <v>0</v>
      </c>
      <c r="M11" s="209">
        <v>0</v>
      </c>
      <c r="N11" s="209">
        <v>0</v>
      </c>
      <c r="O11" s="209">
        <v>0</v>
      </c>
      <c r="P11" s="209">
        <v>0</v>
      </c>
      <c r="Q11" s="209">
        <v>0</v>
      </c>
      <c r="R11" s="209">
        <v>0</v>
      </c>
      <c r="S11" s="209">
        <v>0</v>
      </c>
      <c r="T11" s="209">
        <v>0</v>
      </c>
      <c r="U11" s="209">
        <v>0</v>
      </c>
      <c r="V11" s="221">
        <f t="shared" ref="V11:V22" si="0">$D11*$E11</f>
        <v>0</v>
      </c>
    </row>
    <row r="12" spans="1:22">
      <c r="A12" s="218" t="s">
        <v>252</v>
      </c>
      <c r="B12" s="218" t="s">
        <v>253</v>
      </c>
      <c r="C12" s="218" t="s">
        <v>255</v>
      </c>
      <c r="D12" s="218">
        <v>0</v>
      </c>
      <c r="E12" s="159">
        <v>4030</v>
      </c>
      <c r="F12" s="157"/>
      <c r="G12" s="157"/>
      <c r="H12" s="157"/>
      <c r="I12" s="157"/>
      <c r="J12" s="157">
        <v>0</v>
      </c>
      <c r="K12" s="157">
        <v>0</v>
      </c>
      <c r="L12" s="157">
        <v>0</v>
      </c>
      <c r="M12" s="157">
        <v>0</v>
      </c>
      <c r="N12" s="157">
        <v>0</v>
      </c>
      <c r="O12" s="157">
        <v>0</v>
      </c>
      <c r="P12" s="157">
        <v>0</v>
      </c>
      <c r="Q12" s="157">
        <v>0</v>
      </c>
      <c r="R12" s="157">
        <v>0</v>
      </c>
      <c r="S12" s="157">
        <v>0</v>
      </c>
      <c r="T12" s="157">
        <v>0</v>
      </c>
      <c r="U12" s="157">
        <v>0</v>
      </c>
      <c r="V12" s="222">
        <f t="shared" si="0"/>
        <v>0</v>
      </c>
    </row>
    <row r="13" spans="1:22">
      <c r="A13" s="218" t="s">
        <v>256</v>
      </c>
      <c r="B13" s="218" t="s">
        <v>253</v>
      </c>
      <c r="C13" s="218" t="s">
        <v>257</v>
      </c>
      <c r="D13" s="218">
        <v>219</v>
      </c>
      <c r="E13" s="159">
        <v>4200</v>
      </c>
      <c r="F13" s="157"/>
      <c r="G13" s="157"/>
      <c r="H13" s="157"/>
      <c r="I13" s="157"/>
      <c r="J13" s="215">
        <v>219</v>
      </c>
      <c r="K13" s="215">
        <v>219</v>
      </c>
      <c r="L13" s="215">
        <v>219</v>
      </c>
      <c r="M13" s="215">
        <v>219</v>
      </c>
      <c r="N13" s="215">
        <v>219</v>
      </c>
      <c r="O13" s="215">
        <v>219</v>
      </c>
      <c r="P13" s="215">
        <v>219</v>
      </c>
      <c r="Q13" s="215">
        <v>219</v>
      </c>
      <c r="R13" s="215">
        <v>219</v>
      </c>
      <c r="S13" s="215">
        <v>219</v>
      </c>
      <c r="T13" s="215">
        <v>219</v>
      </c>
      <c r="U13" s="215">
        <v>219</v>
      </c>
      <c r="V13" s="222">
        <f t="shared" si="0"/>
        <v>919800</v>
      </c>
    </row>
    <row r="14" spans="1:22">
      <c r="A14" s="218" t="s">
        <v>258</v>
      </c>
      <c r="B14" s="218" t="s">
        <v>253</v>
      </c>
      <c r="C14" s="218" t="s">
        <v>205</v>
      </c>
      <c r="D14" s="218">
        <v>37</v>
      </c>
      <c r="E14" s="159">
        <v>6750</v>
      </c>
      <c r="F14" s="157"/>
      <c r="G14" s="157"/>
      <c r="H14" s="157"/>
      <c r="I14" s="157"/>
      <c r="J14" s="218">
        <v>37</v>
      </c>
      <c r="K14" s="218">
        <v>37</v>
      </c>
      <c r="L14" s="218">
        <v>37</v>
      </c>
      <c r="M14" s="218">
        <v>37</v>
      </c>
      <c r="N14" s="218">
        <v>37</v>
      </c>
      <c r="O14" s="218">
        <v>37</v>
      </c>
      <c r="P14" s="218">
        <v>37</v>
      </c>
      <c r="Q14" s="218">
        <v>37</v>
      </c>
      <c r="R14" s="218">
        <v>37</v>
      </c>
      <c r="S14" s="218">
        <v>37</v>
      </c>
      <c r="T14" s="218">
        <v>37</v>
      </c>
      <c r="U14" s="218">
        <v>37</v>
      </c>
      <c r="V14" s="222">
        <f t="shared" si="0"/>
        <v>249750</v>
      </c>
    </row>
    <row r="15" spans="1:22">
      <c r="A15" s="218" t="s">
        <v>258</v>
      </c>
      <c r="B15" s="218" t="s">
        <v>253</v>
      </c>
      <c r="C15" s="218" t="s">
        <v>259</v>
      </c>
      <c r="D15" s="218">
        <v>37</v>
      </c>
      <c r="E15" s="159">
        <v>600</v>
      </c>
      <c r="F15" s="157"/>
      <c r="G15" s="157"/>
      <c r="H15" s="157"/>
      <c r="I15" s="157"/>
      <c r="J15" s="218">
        <v>37</v>
      </c>
      <c r="K15" s="218">
        <v>37</v>
      </c>
      <c r="L15" s="218">
        <v>37</v>
      </c>
      <c r="M15" s="218">
        <v>37</v>
      </c>
      <c r="N15" s="218">
        <v>37</v>
      </c>
      <c r="O15" s="218">
        <v>37</v>
      </c>
      <c r="P15" s="218">
        <v>37</v>
      </c>
      <c r="Q15" s="218">
        <v>37</v>
      </c>
      <c r="R15" s="218">
        <v>37</v>
      </c>
      <c r="S15" s="218">
        <v>37</v>
      </c>
      <c r="T15" s="218">
        <v>37</v>
      </c>
      <c r="U15" s="218">
        <v>37</v>
      </c>
      <c r="V15" s="222">
        <f t="shared" si="0"/>
        <v>22200</v>
      </c>
    </row>
    <row r="16" spans="1:22">
      <c r="A16" s="218" t="s">
        <v>258</v>
      </c>
      <c r="B16" s="218" t="s">
        <v>253</v>
      </c>
      <c r="C16" s="218" t="s">
        <v>260</v>
      </c>
      <c r="D16" s="218">
        <v>37</v>
      </c>
      <c r="E16" s="159">
        <v>590</v>
      </c>
      <c r="F16" s="157"/>
      <c r="G16" s="157"/>
      <c r="H16" s="157"/>
      <c r="I16" s="157"/>
      <c r="J16" s="218">
        <v>37</v>
      </c>
      <c r="K16" s="218">
        <v>37</v>
      </c>
      <c r="L16" s="218">
        <v>37</v>
      </c>
      <c r="M16" s="218">
        <v>37</v>
      </c>
      <c r="N16" s="218">
        <v>37</v>
      </c>
      <c r="O16" s="218">
        <v>37</v>
      </c>
      <c r="P16" s="218">
        <v>37</v>
      </c>
      <c r="Q16" s="218">
        <v>37</v>
      </c>
      <c r="R16" s="218">
        <v>37</v>
      </c>
      <c r="S16" s="218">
        <v>37</v>
      </c>
      <c r="T16" s="218">
        <v>37</v>
      </c>
      <c r="U16" s="218">
        <v>37</v>
      </c>
      <c r="V16" s="222">
        <f t="shared" si="0"/>
        <v>21830</v>
      </c>
    </row>
    <row r="17" spans="1:24">
      <c r="A17" s="218" t="s">
        <v>258</v>
      </c>
      <c r="B17" s="218" t="s">
        <v>253</v>
      </c>
      <c r="C17" s="218" t="s">
        <v>261</v>
      </c>
      <c r="D17" s="218">
        <v>2</v>
      </c>
      <c r="E17" s="159">
        <v>5270</v>
      </c>
      <c r="F17" s="157"/>
      <c r="G17" s="157"/>
      <c r="H17" s="157"/>
      <c r="I17" s="157"/>
      <c r="J17" s="218">
        <v>2</v>
      </c>
      <c r="K17" s="218">
        <v>2</v>
      </c>
      <c r="L17" s="218">
        <v>2</v>
      </c>
      <c r="M17" s="218">
        <v>2</v>
      </c>
      <c r="N17" s="218">
        <v>2</v>
      </c>
      <c r="O17" s="218">
        <v>2</v>
      </c>
      <c r="P17" s="218">
        <v>2</v>
      </c>
      <c r="Q17" s="218">
        <v>2</v>
      </c>
      <c r="R17" s="218">
        <v>2</v>
      </c>
      <c r="S17" s="218">
        <v>2</v>
      </c>
      <c r="T17" s="218">
        <v>2</v>
      </c>
      <c r="U17" s="218">
        <v>2</v>
      </c>
      <c r="V17" s="222">
        <f t="shared" si="0"/>
        <v>10540</v>
      </c>
    </row>
    <row r="18" spans="1:24">
      <c r="A18" s="218" t="s">
        <v>258</v>
      </c>
      <c r="B18" s="218" t="s">
        <v>253</v>
      </c>
      <c r="C18" s="218" t="s">
        <v>262</v>
      </c>
      <c r="D18" s="218">
        <v>3</v>
      </c>
      <c r="E18" s="159">
        <v>3690</v>
      </c>
      <c r="F18" s="157"/>
      <c r="G18" s="157"/>
      <c r="H18" s="157"/>
      <c r="I18" s="157"/>
      <c r="J18" s="218">
        <v>3</v>
      </c>
      <c r="K18" s="218">
        <v>3</v>
      </c>
      <c r="L18" s="218">
        <v>3</v>
      </c>
      <c r="M18" s="218">
        <v>3</v>
      </c>
      <c r="N18" s="218">
        <v>3</v>
      </c>
      <c r="O18" s="218">
        <v>3</v>
      </c>
      <c r="P18" s="218">
        <v>3</v>
      </c>
      <c r="Q18" s="218">
        <v>3</v>
      </c>
      <c r="R18" s="218">
        <v>3</v>
      </c>
      <c r="S18" s="218">
        <v>3</v>
      </c>
      <c r="T18" s="218">
        <v>3</v>
      </c>
      <c r="U18" s="218">
        <v>3</v>
      </c>
      <c r="V18" s="222">
        <f t="shared" si="0"/>
        <v>11070</v>
      </c>
    </row>
    <row r="19" spans="1:24">
      <c r="A19" s="218" t="s">
        <v>258</v>
      </c>
      <c r="B19" s="218" t="s">
        <v>79</v>
      </c>
      <c r="C19" s="218" t="s">
        <v>263</v>
      </c>
      <c r="D19" s="218">
        <v>190</v>
      </c>
      <c r="E19" s="159">
        <v>3850</v>
      </c>
      <c r="F19" s="157"/>
      <c r="G19" s="157"/>
      <c r="H19" s="157"/>
      <c r="I19" s="157"/>
      <c r="J19" s="218">
        <v>190</v>
      </c>
      <c r="K19" s="218">
        <v>190</v>
      </c>
      <c r="L19" s="218">
        <v>190</v>
      </c>
      <c r="M19" s="218">
        <v>190</v>
      </c>
      <c r="N19" s="218">
        <v>190</v>
      </c>
      <c r="O19" s="218">
        <v>190</v>
      </c>
      <c r="P19" s="218">
        <v>190</v>
      </c>
      <c r="Q19" s="218">
        <v>190</v>
      </c>
      <c r="R19" s="218">
        <v>190</v>
      </c>
      <c r="S19" s="218">
        <v>190</v>
      </c>
      <c r="T19" s="218">
        <v>190</v>
      </c>
      <c r="U19" s="218">
        <v>190</v>
      </c>
      <c r="V19" s="222">
        <f t="shared" si="0"/>
        <v>731500</v>
      </c>
    </row>
    <row r="20" spans="1:24">
      <c r="A20" s="218" t="s">
        <v>258</v>
      </c>
      <c r="B20" s="218" t="s">
        <v>79</v>
      </c>
      <c r="C20" s="218" t="s">
        <v>264</v>
      </c>
      <c r="D20" s="211">
        <v>90</v>
      </c>
      <c r="E20" s="159">
        <v>4010</v>
      </c>
      <c r="J20" s="218">
        <v>90</v>
      </c>
      <c r="K20" s="218">
        <v>90</v>
      </c>
      <c r="L20" s="218">
        <v>90</v>
      </c>
      <c r="M20" s="218">
        <v>90</v>
      </c>
      <c r="N20" s="218">
        <v>90</v>
      </c>
      <c r="O20" s="218">
        <v>90</v>
      </c>
      <c r="P20" s="218">
        <v>90</v>
      </c>
      <c r="Q20" s="218">
        <v>90</v>
      </c>
      <c r="R20" s="218">
        <v>90</v>
      </c>
      <c r="S20" s="218">
        <v>90</v>
      </c>
      <c r="T20" s="218">
        <v>90</v>
      </c>
      <c r="U20" s="218">
        <v>90</v>
      </c>
      <c r="V20" s="222">
        <f t="shared" si="0"/>
        <v>360900</v>
      </c>
    </row>
    <row r="21" spans="1:24" ht="18.600000000000001" thickBot="1">
      <c r="A21" s="212" t="s">
        <v>258</v>
      </c>
      <c r="B21" s="212" t="s">
        <v>265</v>
      </c>
      <c r="C21" s="212" t="s">
        <v>266</v>
      </c>
      <c r="D21" s="213">
        <v>80</v>
      </c>
      <c r="E21" s="214">
        <v>4130</v>
      </c>
      <c r="F21" s="212"/>
      <c r="G21" s="212"/>
      <c r="H21" s="212"/>
      <c r="I21" s="212"/>
      <c r="J21" s="212">
        <v>80</v>
      </c>
      <c r="K21" s="212">
        <v>80</v>
      </c>
      <c r="L21" s="212">
        <v>80</v>
      </c>
      <c r="M21" s="212">
        <v>80</v>
      </c>
      <c r="N21" s="212">
        <v>80</v>
      </c>
      <c r="O21" s="212">
        <v>80</v>
      </c>
      <c r="P21" s="212">
        <v>80</v>
      </c>
      <c r="Q21" s="212">
        <v>80</v>
      </c>
      <c r="R21" s="212">
        <v>80</v>
      </c>
      <c r="S21" s="212">
        <v>80</v>
      </c>
      <c r="T21" s="212">
        <v>80</v>
      </c>
      <c r="U21" s="212">
        <v>80</v>
      </c>
      <c r="V21" s="223">
        <f t="shared" si="0"/>
        <v>330400</v>
      </c>
      <c r="W21" s="212"/>
      <c r="X21" s="224"/>
    </row>
    <row r="22" spans="1:24" ht="18.600000000000001" thickTop="1">
      <c r="A22" s="218" t="s">
        <v>267</v>
      </c>
      <c r="D22" s="215">
        <f>SUM(F22:I22)</f>
        <v>395</v>
      </c>
      <c r="E22" s="159">
        <v>5000</v>
      </c>
      <c r="F22" s="157">
        <v>235</v>
      </c>
      <c r="G22" s="218">
        <v>100</v>
      </c>
      <c r="H22" s="218">
        <v>10</v>
      </c>
      <c r="I22" s="218">
        <v>50</v>
      </c>
      <c r="J22" s="218">
        <v>395</v>
      </c>
      <c r="K22" s="218">
        <v>395</v>
      </c>
      <c r="L22" s="218">
        <v>395</v>
      </c>
      <c r="M22" s="218">
        <v>395</v>
      </c>
      <c r="N22" s="218">
        <v>395</v>
      </c>
      <c r="O22" s="218">
        <v>395</v>
      </c>
      <c r="P22" s="218">
        <v>395</v>
      </c>
      <c r="Q22" s="218">
        <v>395</v>
      </c>
      <c r="R22" s="218">
        <v>395</v>
      </c>
      <c r="S22" s="218">
        <v>395</v>
      </c>
      <c r="T22" s="218">
        <v>395</v>
      </c>
      <c r="U22" s="218">
        <v>395</v>
      </c>
      <c r="V22" s="222">
        <f t="shared" si="0"/>
        <v>1975000</v>
      </c>
    </row>
    <row r="23" spans="1:24">
      <c r="U23" s="218" t="s">
        <v>268</v>
      </c>
      <c r="V23" s="225">
        <f>SUM(V12:V22)</f>
        <v>4632990</v>
      </c>
    </row>
    <row r="24" spans="1:24">
      <c r="J24" s="215">
        <f t="shared" ref="J24:U24" si="1">SUM($V$11:$V$21)+J$22*$E$22</f>
        <v>4632990</v>
      </c>
      <c r="K24" s="215">
        <f t="shared" si="1"/>
        <v>4632990</v>
      </c>
      <c r="L24" s="215">
        <f t="shared" si="1"/>
        <v>4632990</v>
      </c>
      <c r="M24" s="215">
        <f t="shared" si="1"/>
        <v>4632990</v>
      </c>
      <c r="N24" s="215">
        <f t="shared" si="1"/>
        <v>4632990</v>
      </c>
      <c r="O24" s="215">
        <f t="shared" si="1"/>
        <v>4632990</v>
      </c>
      <c r="P24" s="215">
        <f t="shared" si="1"/>
        <v>4632990</v>
      </c>
      <c r="Q24" s="215">
        <f t="shared" si="1"/>
        <v>4632990</v>
      </c>
      <c r="R24" s="215">
        <f t="shared" si="1"/>
        <v>4632990</v>
      </c>
      <c r="S24" s="215">
        <f t="shared" si="1"/>
        <v>4632990</v>
      </c>
      <c r="T24" s="215">
        <f t="shared" si="1"/>
        <v>4632990</v>
      </c>
      <c r="U24" s="215">
        <f t="shared" si="1"/>
        <v>4632990</v>
      </c>
      <c r="V24" s="168">
        <v>4600000</v>
      </c>
    </row>
    <row r="25" spans="1:24">
      <c r="J25" s="226">
        <v>4700000</v>
      </c>
      <c r="K25" s="226">
        <v>4700000</v>
      </c>
      <c r="L25" s="226">
        <v>4700000</v>
      </c>
      <c r="M25" s="226">
        <v>4700000</v>
      </c>
      <c r="N25" s="226">
        <v>4700000</v>
      </c>
      <c r="O25" s="226">
        <v>4700000</v>
      </c>
      <c r="P25" s="226">
        <v>4700000</v>
      </c>
      <c r="Q25" s="226">
        <v>4700000</v>
      </c>
      <c r="R25" s="226">
        <v>4700000</v>
      </c>
      <c r="S25" s="226">
        <v>4700000</v>
      </c>
      <c r="T25" s="226">
        <v>4700000</v>
      </c>
      <c r="U25" s="226">
        <v>4700000</v>
      </c>
      <c r="V25" s="168">
        <f>SUM(J25:U25)</f>
        <v>56400000</v>
      </c>
    </row>
    <row r="26" spans="1:24"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</row>
    <row r="27" spans="1:24">
      <c r="A27" s="218" t="s">
        <v>269</v>
      </c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</row>
    <row r="29" spans="1:24">
      <c r="A29" s="218" t="s">
        <v>241</v>
      </c>
      <c r="V29" s="219"/>
    </row>
    <row r="30" spans="1:24" ht="18.600000000000001" thickBot="1">
      <c r="A30" s="218" t="s">
        <v>242</v>
      </c>
      <c r="B30" s="218" t="s">
        <v>243</v>
      </c>
      <c r="C30" s="218" t="s">
        <v>244</v>
      </c>
      <c r="D30" s="218" t="s">
        <v>245</v>
      </c>
      <c r="E30" s="218" t="s">
        <v>246</v>
      </c>
      <c r="F30" s="218" t="s">
        <v>237</v>
      </c>
      <c r="G30" s="218" t="s">
        <v>247</v>
      </c>
      <c r="H30" s="218" t="s">
        <v>248</v>
      </c>
      <c r="I30" s="218" t="s">
        <v>7</v>
      </c>
      <c r="J30" s="218" t="s">
        <v>249</v>
      </c>
      <c r="K30" s="218" t="s">
        <v>250</v>
      </c>
      <c r="L30" s="218" t="s">
        <v>129</v>
      </c>
      <c r="M30" s="218" t="s">
        <v>130</v>
      </c>
      <c r="N30" s="218" t="s">
        <v>131</v>
      </c>
      <c r="O30" s="218" t="s">
        <v>132</v>
      </c>
      <c r="P30" s="218" t="s">
        <v>133</v>
      </c>
      <c r="Q30" s="218" t="s">
        <v>134</v>
      </c>
      <c r="R30" s="218" t="s">
        <v>135</v>
      </c>
      <c r="S30" s="218" t="s">
        <v>136</v>
      </c>
      <c r="T30" s="218" t="s">
        <v>137</v>
      </c>
      <c r="U30" s="218" t="s">
        <v>138</v>
      </c>
      <c r="V30" s="219" t="s">
        <v>251</v>
      </c>
    </row>
    <row r="31" spans="1:24" ht="18.600000000000001" thickTop="1">
      <c r="A31" s="209" t="s">
        <v>252</v>
      </c>
      <c r="B31" s="209" t="s">
        <v>253</v>
      </c>
      <c r="C31" s="209" t="s">
        <v>254</v>
      </c>
      <c r="D31" s="209">
        <v>0</v>
      </c>
      <c r="E31" s="210">
        <v>4030</v>
      </c>
      <c r="F31" s="220"/>
      <c r="G31" s="209"/>
      <c r="H31" s="209"/>
      <c r="I31" s="209"/>
      <c r="J31" s="209">
        <v>0</v>
      </c>
      <c r="K31" s="209">
        <v>0</v>
      </c>
      <c r="L31" s="209">
        <v>0</v>
      </c>
      <c r="M31" s="209">
        <v>0</v>
      </c>
      <c r="N31" s="209">
        <v>0</v>
      </c>
      <c r="O31" s="209">
        <v>0</v>
      </c>
      <c r="P31" s="209">
        <v>0</v>
      </c>
      <c r="Q31" s="209">
        <v>0</v>
      </c>
      <c r="R31" s="209">
        <v>0</v>
      </c>
      <c r="S31" s="209">
        <v>0</v>
      </c>
      <c r="T31" s="209">
        <v>0</v>
      </c>
      <c r="U31" s="209">
        <v>0</v>
      </c>
      <c r="V31" s="221">
        <f t="shared" ref="V31:V42" si="2">$D31*$E31</f>
        <v>0</v>
      </c>
    </row>
    <row r="32" spans="1:24">
      <c r="A32" s="218" t="s">
        <v>252</v>
      </c>
      <c r="B32" s="218" t="s">
        <v>253</v>
      </c>
      <c r="C32" s="218" t="s">
        <v>255</v>
      </c>
      <c r="D32" s="218">
        <v>0</v>
      </c>
      <c r="E32" s="159">
        <v>4030</v>
      </c>
      <c r="F32" s="157"/>
      <c r="G32" s="157"/>
      <c r="H32" s="157"/>
      <c r="I32" s="157"/>
      <c r="J32" s="157">
        <v>0</v>
      </c>
      <c r="K32" s="157">
        <v>0</v>
      </c>
      <c r="L32" s="157">
        <v>0</v>
      </c>
      <c r="M32" s="157">
        <v>0</v>
      </c>
      <c r="N32" s="157">
        <v>0</v>
      </c>
      <c r="O32" s="157">
        <v>0</v>
      </c>
      <c r="P32" s="157">
        <v>0</v>
      </c>
      <c r="Q32" s="157">
        <v>0</v>
      </c>
      <c r="R32" s="157">
        <v>0</v>
      </c>
      <c r="S32" s="157">
        <v>0</v>
      </c>
      <c r="T32" s="157">
        <v>0</v>
      </c>
      <c r="U32" s="157">
        <v>0</v>
      </c>
      <c r="V32" s="222">
        <f t="shared" si="2"/>
        <v>0</v>
      </c>
    </row>
    <row r="33" spans="1:24">
      <c r="A33" s="218" t="s">
        <v>256</v>
      </c>
      <c r="B33" s="218" t="s">
        <v>253</v>
      </c>
      <c r="C33" s="218" t="s">
        <v>257</v>
      </c>
      <c r="D33" s="218">
        <v>219</v>
      </c>
      <c r="E33" s="159">
        <v>4200</v>
      </c>
      <c r="F33" s="157"/>
      <c r="G33" s="157"/>
      <c r="H33" s="157"/>
      <c r="I33" s="157"/>
      <c r="J33" s="215">
        <v>219</v>
      </c>
      <c r="K33" s="215">
        <v>219</v>
      </c>
      <c r="L33" s="215">
        <v>219</v>
      </c>
      <c r="M33" s="215">
        <v>219</v>
      </c>
      <c r="N33" s="215">
        <v>219</v>
      </c>
      <c r="O33" s="215">
        <v>219</v>
      </c>
      <c r="P33" s="215">
        <v>219</v>
      </c>
      <c r="Q33" s="215">
        <v>219</v>
      </c>
      <c r="R33" s="215">
        <v>219</v>
      </c>
      <c r="S33" s="215">
        <v>219</v>
      </c>
      <c r="T33" s="215">
        <v>219</v>
      </c>
      <c r="U33" s="215">
        <v>219</v>
      </c>
      <c r="V33" s="222">
        <f t="shared" si="2"/>
        <v>919800</v>
      </c>
    </row>
    <row r="34" spans="1:24">
      <c r="A34" s="218" t="s">
        <v>258</v>
      </c>
      <c r="B34" s="218" t="s">
        <v>253</v>
      </c>
      <c r="C34" s="218" t="s">
        <v>205</v>
      </c>
      <c r="D34" s="218">
        <v>37</v>
      </c>
      <c r="E34" s="159">
        <v>6750</v>
      </c>
      <c r="F34" s="157"/>
      <c r="G34" s="157"/>
      <c r="H34" s="157"/>
      <c r="I34" s="157"/>
      <c r="J34" s="218">
        <v>37</v>
      </c>
      <c r="K34" s="218">
        <v>37</v>
      </c>
      <c r="L34" s="218">
        <v>37</v>
      </c>
      <c r="M34" s="218">
        <v>37</v>
      </c>
      <c r="N34" s="218">
        <v>37</v>
      </c>
      <c r="O34" s="218">
        <v>37</v>
      </c>
      <c r="P34" s="218">
        <v>37</v>
      </c>
      <c r="Q34" s="218">
        <v>37</v>
      </c>
      <c r="R34" s="218">
        <v>37</v>
      </c>
      <c r="S34" s="218">
        <v>37</v>
      </c>
      <c r="T34" s="218">
        <v>37</v>
      </c>
      <c r="U34" s="218">
        <v>37</v>
      </c>
      <c r="V34" s="222">
        <f t="shared" si="2"/>
        <v>249750</v>
      </c>
    </row>
    <row r="35" spans="1:24">
      <c r="A35" s="218" t="s">
        <v>258</v>
      </c>
      <c r="B35" s="218" t="s">
        <v>253</v>
      </c>
      <c r="C35" s="218" t="s">
        <v>259</v>
      </c>
      <c r="D35" s="218">
        <v>37</v>
      </c>
      <c r="E35" s="159">
        <v>600</v>
      </c>
      <c r="F35" s="157"/>
      <c r="G35" s="157"/>
      <c r="H35" s="157"/>
      <c r="I35" s="157"/>
      <c r="J35" s="218">
        <v>37</v>
      </c>
      <c r="K35" s="218">
        <v>37</v>
      </c>
      <c r="L35" s="218">
        <v>37</v>
      </c>
      <c r="M35" s="218">
        <v>37</v>
      </c>
      <c r="N35" s="218">
        <v>37</v>
      </c>
      <c r="O35" s="218">
        <v>37</v>
      </c>
      <c r="P35" s="218">
        <v>37</v>
      </c>
      <c r="Q35" s="218">
        <v>37</v>
      </c>
      <c r="R35" s="218">
        <v>37</v>
      </c>
      <c r="S35" s="218">
        <v>37</v>
      </c>
      <c r="T35" s="218">
        <v>37</v>
      </c>
      <c r="U35" s="218">
        <v>37</v>
      </c>
      <c r="V35" s="222">
        <f t="shared" si="2"/>
        <v>22200</v>
      </c>
    </row>
    <row r="36" spans="1:24">
      <c r="A36" s="218" t="s">
        <v>258</v>
      </c>
      <c r="B36" s="218" t="s">
        <v>253</v>
      </c>
      <c r="C36" s="218" t="s">
        <v>260</v>
      </c>
      <c r="D36" s="218">
        <v>37</v>
      </c>
      <c r="E36" s="159">
        <v>590</v>
      </c>
      <c r="F36" s="157"/>
      <c r="G36" s="157"/>
      <c r="H36" s="157"/>
      <c r="I36" s="157"/>
      <c r="J36" s="218">
        <v>37</v>
      </c>
      <c r="K36" s="218">
        <v>37</v>
      </c>
      <c r="L36" s="218">
        <v>37</v>
      </c>
      <c r="M36" s="218">
        <v>37</v>
      </c>
      <c r="N36" s="218">
        <v>37</v>
      </c>
      <c r="O36" s="218">
        <v>37</v>
      </c>
      <c r="P36" s="218">
        <v>37</v>
      </c>
      <c r="Q36" s="218">
        <v>37</v>
      </c>
      <c r="R36" s="218">
        <v>37</v>
      </c>
      <c r="S36" s="218">
        <v>37</v>
      </c>
      <c r="T36" s="218">
        <v>37</v>
      </c>
      <c r="U36" s="218">
        <v>37</v>
      </c>
      <c r="V36" s="222">
        <f t="shared" si="2"/>
        <v>21830</v>
      </c>
    </row>
    <row r="37" spans="1:24">
      <c r="A37" s="218" t="s">
        <v>258</v>
      </c>
      <c r="B37" s="218" t="s">
        <v>253</v>
      </c>
      <c r="C37" s="218" t="s">
        <v>261</v>
      </c>
      <c r="D37" s="218">
        <v>2</v>
      </c>
      <c r="E37" s="159">
        <v>5270</v>
      </c>
      <c r="F37" s="157"/>
      <c r="G37" s="157"/>
      <c r="H37" s="157"/>
      <c r="I37" s="157"/>
      <c r="J37" s="218">
        <v>2</v>
      </c>
      <c r="K37" s="218">
        <v>2</v>
      </c>
      <c r="L37" s="218">
        <v>2</v>
      </c>
      <c r="M37" s="218">
        <v>2</v>
      </c>
      <c r="N37" s="218">
        <v>2</v>
      </c>
      <c r="O37" s="218">
        <v>2</v>
      </c>
      <c r="P37" s="218">
        <v>2</v>
      </c>
      <c r="Q37" s="218">
        <v>2</v>
      </c>
      <c r="R37" s="218">
        <v>2</v>
      </c>
      <c r="S37" s="218">
        <v>2</v>
      </c>
      <c r="T37" s="218">
        <v>2</v>
      </c>
      <c r="U37" s="218">
        <v>2</v>
      </c>
      <c r="V37" s="222">
        <f t="shared" si="2"/>
        <v>10540</v>
      </c>
    </row>
    <row r="38" spans="1:24">
      <c r="A38" s="218" t="s">
        <v>258</v>
      </c>
      <c r="B38" s="218" t="s">
        <v>253</v>
      </c>
      <c r="C38" s="218" t="s">
        <v>262</v>
      </c>
      <c r="D38" s="218">
        <v>3</v>
      </c>
      <c r="E38" s="159">
        <v>3690</v>
      </c>
      <c r="F38" s="157"/>
      <c r="G38" s="157"/>
      <c r="H38" s="157"/>
      <c r="I38" s="157"/>
      <c r="J38" s="218">
        <v>3</v>
      </c>
      <c r="K38" s="218">
        <v>3</v>
      </c>
      <c r="L38" s="218">
        <v>3</v>
      </c>
      <c r="M38" s="218">
        <v>3</v>
      </c>
      <c r="N38" s="218">
        <v>3</v>
      </c>
      <c r="O38" s="218">
        <v>3</v>
      </c>
      <c r="P38" s="218">
        <v>3</v>
      </c>
      <c r="Q38" s="218">
        <v>3</v>
      </c>
      <c r="R38" s="218">
        <v>3</v>
      </c>
      <c r="S38" s="218">
        <v>3</v>
      </c>
      <c r="T38" s="218">
        <v>3</v>
      </c>
      <c r="U38" s="218">
        <v>3</v>
      </c>
      <c r="V38" s="222">
        <f t="shared" si="2"/>
        <v>11070</v>
      </c>
    </row>
    <row r="39" spans="1:24">
      <c r="A39" s="218" t="s">
        <v>258</v>
      </c>
      <c r="B39" s="218" t="s">
        <v>79</v>
      </c>
      <c r="C39" s="218" t="s">
        <v>263</v>
      </c>
      <c r="D39" s="218">
        <v>190</v>
      </c>
      <c r="E39" s="159">
        <v>3850</v>
      </c>
      <c r="F39" s="157"/>
      <c r="G39" s="157"/>
      <c r="H39" s="157"/>
      <c r="I39" s="157"/>
      <c r="J39" s="218">
        <v>190</v>
      </c>
      <c r="K39" s="218">
        <v>190</v>
      </c>
      <c r="L39" s="218">
        <v>190</v>
      </c>
      <c r="M39" s="218">
        <v>190</v>
      </c>
      <c r="N39" s="218">
        <v>190</v>
      </c>
      <c r="O39" s="218">
        <v>190</v>
      </c>
      <c r="P39" s="218">
        <v>190</v>
      </c>
      <c r="Q39" s="218">
        <v>190</v>
      </c>
      <c r="R39" s="218">
        <v>190</v>
      </c>
      <c r="S39" s="218">
        <v>190</v>
      </c>
      <c r="T39" s="218">
        <v>190</v>
      </c>
      <c r="U39" s="218">
        <v>190</v>
      </c>
      <c r="V39" s="222">
        <f t="shared" si="2"/>
        <v>731500</v>
      </c>
    </row>
    <row r="40" spans="1:24">
      <c r="A40" s="218" t="s">
        <v>258</v>
      </c>
      <c r="B40" s="218" t="s">
        <v>79</v>
      </c>
      <c r="C40" s="218" t="s">
        <v>264</v>
      </c>
      <c r="D40" s="211">
        <v>90</v>
      </c>
      <c r="E40" s="159">
        <v>4010</v>
      </c>
      <c r="J40" s="218">
        <v>90</v>
      </c>
      <c r="K40" s="218">
        <v>90</v>
      </c>
      <c r="L40" s="218">
        <v>90</v>
      </c>
      <c r="M40" s="218">
        <v>90</v>
      </c>
      <c r="N40" s="218">
        <v>90</v>
      </c>
      <c r="O40" s="218">
        <v>90</v>
      </c>
      <c r="P40" s="218">
        <v>90</v>
      </c>
      <c r="Q40" s="218">
        <v>90</v>
      </c>
      <c r="R40" s="218">
        <v>90</v>
      </c>
      <c r="S40" s="218">
        <v>90</v>
      </c>
      <c r="T40" s="218">
        <v>90</v>
      </c>
      <c r="U40" s="218">
        <v>90</v>
      </c>
      <c r="V40" s="222">
        <f t="shared" si="2"/>
        <v>360900</v>
      </c>
    </row>
    <row r="41" spans="1:24" ht="18.600000000000001" thickBot="1">
      <c r="A41" s="212" t="s">
        <v>258</v>
      </c>
      <c r="B41" s="212" t="s">
        <v>265</v>
      </c>
      <c r="C41" s="212" t="s">
        <v>266</v>
      </c>
      <c r="D41" s="213">
        <v>80</v>
      </c>
      <c r="E41" s="214">
        <v>4130</v>
      </c>
      <c r="F41" s="212"/>
      <c r="G41" s="212"/>
      <c r="H41" s="212"/>
      <c r="I41" s="212"/>
      <c r="J41" s="212">
        <v>80</v>
      </c>
      <c r="K41" s="212">
        <v>80</v>
      </c>
      <c r="L41" s="212">
        <v>80</v>
      </c>
      <c r="M41" s="212">
        <v>80</v>
      </c>
      <c r="N41" s="212">
        <v>80</v>
      </c>
      <c r="O41" s="212">
        <v>80</v>
      </c>
      <c r="P41" s="212">
        <v>80</v>
      </c>
      <c r="Q41" s="212">
        <v>80</v>
      </c>
      <c r="R41" s="212">
        <v>80</v>
      </c>
      <c r="S41" s="212">
        <v>80</v>
      </c>
      <c r="T41" s="212">
        <v>80</v>
      </c>
      <c r="U41" s="212">
        <v>80</v>
      </c>
      <c r="V41" s="223">
        <f t="shared" si="2"/>
        <v>330400</v>
      </c>
      <c r="W41" s="212"/>
      <c r="X41" s="224"/>
    </row>
    <row r="42" spans="1:24" ht="18.600000000000001" thickTop="1">
      <c r="A42" s="218" t="s">
        <v>267</v>
      </c>
      <c r="D42" s="215">
        <f>SUM(F42:I42)</f>
        <v>395</v>
      </c>
      <c r="E42" s="191">
        <v>4500</v>
      </c>
      <c r="F42" s="157">
        <v>235</v>
      </c>
      <c r="G42" s="218">
        <v>100</v>
      </c>
      <c r="H42" s="218">
        <v>10</v>
      </c>
      <c r="I42" s="218">
        <v>50</v>
      </c>
      <c r="J42" s="218">
        <v>0</v>
      </c>
      <c r="K42" s="218">
        <v>100</v>
      </c>
      <c r="L42" s="218">
        <v>150</v>
      </c>
      <c r="M42" s="218">
        <v>190</v>
      </c>
      <c r="N42" s="218">
        <v>230</v>
      </c>
      <c r="O42" s="218">
        <v>270</v>
      </c>
      <c r="P42" s="218">
        <v>310</v>
      </c>
      <c r="Q42" s="218">
        <v>350</v>
      </c>
      <c r="R42" s="218">
        <v>380</v>
      </c>
      <c r="S42" s="218">
        <v>395</v>
      </c>
      <c r="T42" s="218">
        <v>395</v>
      </c>
      <c r="U42" s="218">
        <v>395</v>
      </c>
      <c r="V42" s="222">
        <f t="shared" si="2"/>
        <v>1777500</v>
      </c>
    </row>
    <row r="43" spans="1:24">
      <c r="U43" s="218" t="s">
        <v>270</v>
      </c>
      <c r="V43" s="2">
        <f>SUM(V31:V42)</f>
        <v>4435490</v>
      </c>
      <c r="W43" s="2"/>
    </row>
    <row r="44" spans="1:24">
      <c r="U44" s="227" t="s">
        <v>271</v>
      </c>
      <c r="V44" s="228">
        <v>4600000</v>
      </c>
    </row>
    <row r="45" spans="1:24">
      <c r="V45" s="157"/>
    </row>
    <row r="46" spans="1:24">
      <c r="J46" s="159">
        <f t="shared" ref="J46:U46" si="3">SUM($V$30:$V$41)+$E$42*J$42</f>
        <v>2657990</v>
      </c>
      <c r="K46" s="159">
        <f t="shared" si="3"/>
        <v>3107990</v>
      </c>
      <c r="L46" s="159">
        <f t="shared" si="3"/>
        <v>3332990</v>
      </c>
      <c r="M46" s="159">
        <f t="shared" si="3"/>
        <v>3512990</v>
      </c>
      <c r="N46" s="159">
        <f t="shared" si="3"/>
        <v>3692990</v>
      </c>
      <c r="O46" s="159">
        <f t="shared" si="3"/>
        <v>3872990</v>
      </c>
      <c r="P46" s="159">
        <f t="shared" si="3"/>
        <v>4052990</v>
      </c>
      <c r="Q46" s="159">
        <f t="shared" si="3"/>
        <v>4232990</v>
      </c>
      <c r="R46" s="159">
        <f t="shared" si="3"/>
        <v>4367990</v>
      </c>
      <c r="S46" s="159">
        <f t="shared" si="3"/>
        <v>4435490</v>
      </c>
      <c r="T46" s="159">
        <f t="shared" si="3"/>
        <v>4435490</v>
      </c>
      <c r="U46" s="159">
        <f t="shared" si="3"/>
        <v>4435490</v>
      </c>
      <c r="V46" s="157"/>
    </row>
    <row r="47" spans="1:24">
      <c r="J47" s="229">
        <v>2700000</v>
      </c>
      <c r="K47" s="229">
        <v>3200000</v>
      </c>
      <c r="L47" s="229">
        <v>3500000</v>
      </c>
      <c r="M47" s="229">
        <v>3700000</v>
      </c>
      <c r="N47" s="229">
        <v>3900000</v>
      </c>
      <c r="O47" s="229">
        <v>4100000</v>
      </c>
      <c r="P47" s="229">
        <v>4300000</v>
      </c>
      <c r="Q47" s="229">
        <v>4500000</v>
      </c>
      <c r="R47" s="229">
        <v>4600000</v>
      </c>
      <c r="S47" s="226">
        <v>4700000</v>
      </c>
      <c r="T47" s="226">
        <v>4700000</v>
      </c>
      <c r="U47" s="226">
        <v>4700000</v>
      </c>
      <c r="V47" s="228">
        <f>SUM(J47:U47)</f>
        <v>48600000</v>
      </c>
    </row>
    <row r="48" spans="1:24">
      <c r="V48" s="157"/>
    </row>
    <row r="50" spans="1:24">
      <c r="A50" s="218" t="s">
        <v>272</v>
      </c>
    </row>
    <row r="51" spans="1:24">
      <c r="J51" s="218" t="s">
        <v>249</v>
      </c>
      <c r="K51" s="218" t="s">
        <v>250</v>
      </c>
      <c r="L51" s="218" t="s">
        <v>129</v>
      </c>
      <c r="M51" s="218" t="s">
        <v>130</v>
      </c>
      <c r="N51" s="218" t="s">
        <v>131</v>
      </c>
      <c r="O51" s="218" t="s">
        <v>132</v>
      </c>
      <c r="P51" s="218" t="s">
        <v>133</v>
      </c>
      <c r="Q51" s="218" t="s">
        <v>134</v>
      </c>
      <c r="R51" s="218" t="s">
        <v>135</v>
      </c>
      <c r="S51" s="218" t="s">
        <v>136</v>
      </c>
      <c r="T51" s="218" t="s">
        <v>137</v>
      </c>
      <c r="U51" s="218" t="s">
        <v>138</v>
      </c>
      <c r="V51" s="218" t="s">
        <v>122</v>
      </c>
    </row>
    <row r="52" spans="1:24">
      <c r="H52" s="218" t="s">
        <v>273</v>
      </c>
      <c r="J52" s="230">
        <v>2559100</v>
      </c>
      <c r="K52" s="230">
        <v>2559100</v>
      </c>
      <c r="L52" s="230">
        <v>3059100</v>
      </c>
      <c r="M52" s="230">
        <v>3059100</v>
      </c>
      <c r="N52" s="230">
        <v>3059100</v>
      </c>
      <c r="O52" s="230">
        <v>3059100</v>
      </c>
      <c r="P52" s="230">
        <v>3059100</v>
      </c>
      <c r="Q52" s="230">
        <v>3059100</v>
      </c>
      <c r="R52" s="230">
        <v>3059100</v>
      </c>
      <c r="S52" s="230">
        <v>3059100</v>
      </c>
      <c r="T52" s="230">
        <v>3059100</v>
      </c>
      <c r="U52" s="230">
        <v>3059100</v>
      </c>
      <c r="V52" s="230">
        <f>SUM($J52:$U52)</f>
        <v>35709200</v>
      </c>
    </row>
    <row r="53" spans="1:24">
      <c r="H53" s="218" t="s">
        <v>274</v>
      </c>
      <c r="I53" s="218" t="s">
        <v>122</v>
      </c>
      <c r="J53" s="230">
        <f t="shared" ref="J53:V53" si="4">SUM(J$54:J$56)</f>
        <v>2654910</v>
      </c>
      <c r="K53" s="230">
        <f t="shared" si="4"/>
        <v>2251159.9999999995</v>
      </c>
      <c r="L53" s="230">
        <f t="shared" si="4"/>
        <v>2540259.9999999995</v>
      </c>
      <c r="M53" s="230">
        <f t="shared" si="4"/>
        <v>2536040</v>
      </c>
      <c r="N53" s="230">
        <f t="shared" si="4"/>
        <v>2639239.9999999995</v>
      </c>
      <c r="O53" s="230">
        <f t="shared" si="4"/>
        <v>2638469.9999999995</v>
      </c>
      <c r="P53" s="230">
        <f t="shared" si="4"/>
        <v>2762369.9999999995</v>
      </c>
      <c r="Q53" s="230">
        <f t="shared" si="4"/>
        <v>2689009.9999999995</v>
      </c>
      <c r="R53" s="230">
        <f t="shared" si="4"/>
        <v>2689009.9999999995</v>
      </c>
      <c r="S53" s="230">
        <f t="shared" si="4"/>
        <v>2969710</v>
      </c>
      <c r="T53" s="230">
        <f t="shared" si="4"/>
        <v>2969710</v>
      </c>
      <c r="U53" s="230">
        <f t="shared" si="4"/>
        <v>2969710</v>
      </c>
      <c r="V53" s="230">
        <f t="shared" si="4"/>
        <v>32309600</v>
      </c>
    </row>
    <row r="54" spans="1:24">
      <c r="I54" s="218" t="s">
        <v>275</v>
      </c>
      <c r="J54" s="230">
        <f>2793351/1.1</f>
        <v>2539410</v>
      </c>
      <c r="K54" s="230">
        <f>1904551/1.1</f>
        <v>1731409.9999999998</v>
      </c>
      <c r="L54" s="230">
        <f>1904551/1.1</f>
        <v>1731409.9999999998</v>
      </c>
      <c r="M54" s="230">
        <f>1910689/1.1</f>
        <v>1736989.9999999998</v>
      </c>
      <c r="N54" s="230">
        <f>1871364/1.1</f>
        <v>1701239.9999999998</v>
      </c>
      <c r="O54" s="230">
        <f>1870517/1.1</f>
        <v>1700469.9999999998</v>
      </c>
      <c r="P54" s="230">
        <f>1870517/1.1</f>
        <v>1700469.9999999998</v>
      </c>
      <c r="Q54" s="230">
        <f>1789821/1.1</f>
        <v>1627109.9999999998</v>
      </c>
      <c r="R54" s="172">
        <f>1789821/1.1</f>
        <v>1627109.9999999998</v>
      </c>
      <c r="S54" s="172">
        <f>1789821/1.1</f>
        <v>1627109.9999999998</v>
      </c>
      <c r="T54" s="172">
        <f>1789821/1.1</f>
        <v>1627109.9999999998</v>
      </c>
      <c r="U54" s="172">
        <f>1789821/1.1</f>
        <v>1627109.9999999998</v>
      </c>
      <c r="V54" s="172">
        <f>SUM($J54:$U54)</f>
        <v>20976950</v>
      </c>
    </row>
    <row r="55" spans="1:24">
      <c r="I55" s="218" t="s">
        <v>276</v>
      </c>
      <c r="J55" s="230">
        <f>127050/1.1</f>
        <v>115499.99999999999</v>
      </c>
      <c r="K55" s="230">
        <f>571725/1.1</f>
        <v>519749.99999999994</v>
      </c>
      <c r="L55" s="230">
        <f>571725/1.1</f>
        <v>519749.99999999994</v>
      </c>
      <c r="M55" s="230">
        <f>719950/1.1</f>
        <v>654500</v>
      </c>
      <c r="N55" s="230">
        <f>804650/1.1</f>
        <v>731499.99999999988</v>
      </c>
      <c r="O55" s="230">
        <f>804650/1.1</f>
        <v>731499.99999999988</v>
      </c>
      <c r="P55" s="230">
        <f>804650/1.1</f>
        <v>731499.99999999988</v>
      </c>
      <c r="Q55" s="230">
        <f>804650/1.1</f>
        <v>731499.99999999988</v>
      </c>
      <c r="R55" s="172">
        <f>804650/1.1</f>
        <v>731499.99999999988</v>
      </c>
      <c r="S55" s="172">
        <v>1012200</v>
      </c>
      <c r="T55" s="172">
        <v>1012200</v>
      </c>
      <c r="U55" s="172">
        <v>1012200</v>
      </c>
      <c r="V55" s="172">
        <f>SUM($J55:$U55)</f>
        <v>8503600</v>
      </c>
    </row>
    <row r="56" spans="1:24">
      <c r="I56" s="218" t="s">
        <v>277</v>
      </c>
      <c r="J56" s="230">
        <v>0</v>
      </c>
      <c r="K56" s="230">
        <v>0</v>
      </c>
      <c r="L56" s="230">
        <f>318010/1.1</f>
        <v>289100</v>
      </c>
      <c r="M56" s="230">
        <f>159005/1.1</f>
        <v>144550</v>
      </c>
      <c r="N56" s="230">
        <f>227150/1.1</f>
        <v>206499.99999999997</v>
      </c>
      <c r="O56" s="230">
        <f>227150/1.1</f>
        <v>206499.99999999997</v>
      </c>
      <c r="P56" s="230">
        <f t="shared" ref="P56:U56" si="5">363440/1.1</f>
        <v>330400</v>
      </c>
      <c r="Q56" s="230">
        <f t="shared" si="5"/>
        <v>330400</v>
      </c>
      <c r="R56" s="172">
        <f t="shared" si="5"/>
        <v>330400</v>
      </c>
      <c r="S56" s="172">
        <f t="shared" si="5"/>
        <v>330400</v>
      </c>
      <c r="T56" s="172">
        <f t="shared" si="5"/>
        <v>330400</v>
      </c>
      <c r="U56" s="172">
        <f t="shared" si="5"/>
        <v>330400</v>
      </c>
      <c r="V56" s="172">
        <f>SUM($J56:$U56)</f>
        <v>2829050</v>
      </c>
    </row>
    <row r="57" spans="1:24">
      <c r="H57" s="218" t="s">
        <v>278</v>
      </c>
      <c r="J57" s="230">
        <f t="shared" ref="J57:V57" si="6">J$53-J$52</f>
        <v>95810</v>
      </c>
      <c r="K57" s="230">
        <f t="shared" si="6"/>
        <v>-307940.00000000047</v>
      </c>
      <c r="L57" s="230">
        <f t="shared" si="6"/>
        <v>-518840.00000000047</v>
      </c>
      <c r="M57" s="230">
        <f t="shared" si="6"/>
        <v>-523060</v>
      </c>
      <c r="N57" s="230">
        <f t="shared" si="6"/>
        <v>-419860.00000000047</v>
      </c>
      <c r="O57" s="230">
        <f t="shared" si="6"/>
        <v>-420630.00000000047</v>
      </c>
      <c r="P57" s="230">
        <f t="shared" si="6"/>
        <v>-296730.00000000047</v>
      </c>
      <c r="Q57" s="230">
        <f t="shared" si="6"/>
        <v>-370090.00000000047</v>
      </c>
      <c r="R57" s="172">
        <f t="shared" si="6"/>
        <v>-370090.00000000047</v>
      </c>
      <c r="S57" s="172">
        <f t="shared" si="6"/>
        <v>-89390</v>
      </c>
      <c r="T57" s="172">
        <f t="shared" si="6"/>
        <v>-89390</v>
      </c>
      <c r="U57" s="172">
        <f t="shared" si="6"/>
        <v>-89390</v>
      </c>
      <c r="V57" s="172">
        <f t="shared" si="6"/>
        <v>-3399600</v>
      </c>
    </row>
    <row r="61" spans="1:24">
      <c r="H61" s="218" t="s">
        <v>279</v>
      </c>
      <c r="J61" s="218" t="s">
        <v>249</v>
      </c>
      <c r="K61" s="218" t="s">
        <v>250</v>
      </c>
      <c r="L61" s="218" t="s">
        <v>129</v>
      </c>
      <c r="M61" s="218" t="s">
        <v>130</v>
      </c>
      <c r="N61" s="218" t="s">
        <v>131</v>
      </c>
      <c r="O61" s="218" t="s">
        <v>132</v>
      </c>
      <c r="P61" s="218" t="s">
        <v>133</v>
      </c>
      <c r="Q61" s="218" t="s">
        <v>134</v>
      </c>
      <c r="R61" s="218" t="s">
        <v>135</v>
      </c>
      <c r="S61" s="218" t="s">
        <v>136</v>
      </c>
      <c r="T61" s="218" t="s">
        <v>137</v>
      </c>
      <c r="U61" s="218" t="s">
        <v>138</v>
      </c>
      <c r="X61" s="26" t="s">
        <v>280</v>
      </c>
    </row>
    <row r="62" spans="1:24">
      <c r="I62" s="218" t="s">
        <v>263</v>
      </c>
      <c r="J62" s="218">
        <v>0</v>
      </c>
      <c r="K62" s="218">
        <v>0</v>
      </c>
      <c r="L62" s="218">
        <v>35</v>
      </c>
      <c r="M62" s="218">
        <v>35</v>
      </c>
      <c r="N62" s="218">
        <v>55</v>
      </c>
      <c r="O62" s="218">
        <v>55</v>
      </c>
      <c r="P62" s="218">
        <v>55</v>
      </c>
      <c r="Q62" s="218">
        <v>55</v>
      </c>
      <c r="R62" s="218">
        <v>55</v>
      </c>
      <c r="S62" s="218">
        <v>55</v>
      </c>
      <c r="T62" s="218">
        <v>55</v>
      </c>
      <c r="U62" s="218">
        <v>55</v>
      </c>
      <c r="X62" s="26">
        <v>135</v>
      </c>
    </row>
    <row r="63" spans="1:24">
      <c r="I63" s="218" t="s">
        <v>281</v>
      </c>
      <c r="J63" s="218">
        <v>0</v>
      </c>
      <c r="K63" s="218">
        <v>35</v>
      </c>
      <c r="L63" s="218">
        <v>35</v>
      </c>
      <c r="M63" s="218">
        <v>50</v>
      </c>
      <c r="N63" s="218">
        <v>50</v>
      </c>
      <c r="O63" s="218">
        <v>80</v>
      </c>
      <c r="P63" s="218">
        <v>80</v>
      </c>
      <c r="Q63" s="218">
        <v>80</v>
      </c>
      <c r="R63" s="218">
        <v>80</v>
      </c>
      <c r="S63" s="218">
        <v>80</v>
      </c>
      <c r="T63" s="218">
        <v>80</v>
      </c>
      <c r="U63" s="218">
        <v>80</v>
      </c>
    </row>
    <row r="64" spans="1:24">
      <c r="I64" s="218" t="s">
        <v>282</v>
      </c>
      <c r="J64" s="218">
        <v>0</v>
      </c>
      <c r="K64" s="218">
        <v>0</v>
      </c>
      <c r="L64" s="218">
        <v>0</v>
      </c>
      <c r="M64" s="218">
        <v>0</v>
      </c>
      <c r="N64" s="218">
        <v>0</v>
      </c>
      <c r="O64" s="218">
        <v>0</v>
      </c>
      <c r="P64" s="218">
        <v>50</v>
      </c>
      <c r="Q64" s="218">
        <v>50</v>
      </c>
      <c r="R64" s="218">
        <v>70</v>
      </c>
      <c r="S64" s="218">
        <v>70</v>
      </c>
      <c r="T64" s="218">
        <v>70</v>
      </c>
      <c r="U64" s="218">
        <v>70</v>
      </c>
    </row>
    <row r="65" spans="1:22">
      <c r="U65" s="218" t="s">
        <v>122</v>
      </c>
      <c r="V65" s="218">
        <f>SUM(U62:U64)</f>
        <v>205</v>
      </c>
    </row>
    <row r="66" spans="1:22">
      <c r="U66" s="218" t="s">
        <v>283</v>
      </c>
      <c r="V66" s="218">
        <v>225</v>
      </c>
    </row>
    <row r="67" spans="1:22">
      <c r="A67" s="218" t="s">
        <v>284</v>
      </c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</row>
    <row r="69" spans="1:22">
      <c r="A69" s="218" t="s">
        <v>241</v>
      </c>
      <c r="V69" s="219"/>
    </row>
    <row r="70" spans="1:22" ht="18.600000000000001" thickBot="1">
      <c r="A70" s="218" t="s">
        <v>242</v>
      </c>
      <c r="B70" s="218" t="s">
        <v>243</v>
      </c>
      <c r="C70" s="218" t="s">
        <v>244</v>
      </c>
      <c r="D70" s="218" t="s">
        <v>245</v>
      </c>
      <c r="E70" s="218" t="s">
        <v>246</v>
      </c>
      <c r="F70" s="218" t="s">
        <v>237</v>
      </c>
      <c r="G70" s="218" t="s">
        <v>247</v>
      </c>
      <c r="H70" s="218" t="s">
        <v>248</v>
      </c>
      <c r="I70" s="218" t="s">
        <v>7</v>
      </c>
      <c r="J70" s="218" t="s">
        <v>249</v>
      </c>
      <c r="K70" s="218" t="s">
        <v>250</v>
      </c>
      <c r="L70" s="218" t="s">
        <v>129</v>
      </c>
      <c r="M70" s="218" t="s">
        <v>130</v>
      </c>
      <c r="N70" s="218" t="s">
        <v>131</v>
      </c>
      <c r="O70" s="218" t="s">
        <v>132</v>
      </c>
      <c r="P70" s="218" t="s">
        <v>133</v>
      </c>
      <c r="Q70" s="218" t="s">
        <v>134</v>
      </c>
      <c r="R70" s="218" t="s">
        <v>135</v>
      </c>
      <c r="S70" s="218" t="s">
        <v>136</v>
      </c>
      <c r="T70" s="218" t="s">
        <v>137</v>
      </c>
      <c r="U70" s="218" t="s">
        <v>138</v>
      </c>
      <c r="V70" s="219" t="s">
        <v>251</v>
      </c>
    </row>
    <row r="71" spans="1:22" ht="18.600000000000001" thickTop="1">
      <c r="A71" s="209" t="s">
        <v>252</v>
      </c>
      <c r="B71" s="209" t="s">
        <v>253</v>
      </c>
      <c r="C71" s="209" t="s">
        <v>254</v>
      </c>
      <c r="D71" s="209">
        <v>0</v>
      </c>
      <c r="E71" s="210">
        <v>4030</v>
      </c>
      <c r="F71" s="220"/>
      <c r="G71" s="209"/>
      <c r="H71" s="209"/>
      <c r="I71" s="209"/>
      <c r="J71" s="209">
        <v>0</v>
      </c>
      <c r="K71" s="209">
        <v>0</v>
      </c>
      <c r="L71" s="209">
        <v>0</v>
      </c>
      <c r="M71" s="209">
        <v>0</v>
      </c>
      <c r="N71" s="209">
        <v>0</v>
      </c>
      <c r="O71" s="209">
        <v>0</v>
      </c>
      <c r="P71" s="209">
        <v>0</v>
      </c>
      <c r="Q71" s="209">
        <v>0</v>
      </c>
      <c r="R71" s="209">
        <v>0</v>
      </c>
      <c r="S71" s="209">
        <v>0</v>
      </c>
      <c r="T71" s="209">
        <v>0</v>
      </c>
      <c r="U71" s="209">
        <v>0</v>
      </c>
      <c r="V71" s="221">
        <f t="shared" ref="V71:V82" si="7">$D71*$E71</f>
        <v>0</v>
      </c>
    </row>
    <row r="72" spans="1:22">
      <c r="A72" s="218" t="s">
        <v>252</v>
      </c>
      <c r="B72" s="218" t="s">
        <v>253</v>
      </c>
      <c r="C72" s="218" t="s">
        <v>255</v>
      </c>
      <c r="D72" s="218">
        <v>0</v>
      </c>
      <c r="E72" s="159">
        <v>4030</v>
      </c>
      <c r="F72" s="157"/>
      <c r="G72" s="157"/>
      <c r="H72" s="157"/>
      <c r="I72" s="157"/>
      <c r="J72" s="157">
        <v>0</v>
      </c>
      <c r="K72" s="157">
        <v>0</v>
      </c>
      <c r="L72" s="157">
        <v>0</v>
      </c>
      <c r="M72" s="157">
        <v>0</v>
      </c>
      <c r="N72" s="157">
        <v>0</v>
      </c>
      <c r="O72" s="157">
        <v>0</v>
      </c>
      <c r="P72" s="157">
        <v>0</v>
      </c>
      <c r="Q72" s="157">
        <v>0</v>
      </c>
      <c r="R72" s="157">
        <v>0</v>
      </c>
      <c r="S72" s="157">
        <v>0</v>
      </c>
      <c r="T72" s="157">
        <v>0</v>
      </c>
      <c r="U72" s="157">
        <v>0</v>
      </c>
      <c r="V72" s="222">
        <f t="shared" si="7"/>
        <v>0</v>
      </c>
    </row>
    <row r="73" spans="1:22">
      <c r="A73" s="218" t="s">
        <v>256</v>
      </c>
      <c r="B73" s="218" t="s">
        <v>253</v>
      </c>
      <c r="C73" s="218" t="s">
        <v>257</v>
      </c>
      <c r="D73" s="218">
        <v>219</v>
      </c>
      <c r="E73" s="159">
        <v>4200</v>
      </c>
      <c r="F73" s="157"/>
      <c r="G73" s="157"/>
      <c r="H73" s="157"/>
      <c r="I73" s="157"/>
      <c r="J73" s="215">
        <v>219</v>
      </c>
      <c r="K73" s="215">
        <v>219</v>
      </c>
      <c r="L73" s="215">
        <v>219</v>
      </c>
      <c r="M73" s="215">
        <v>219</v>
      </c>
      <c r="N73" s="215">
        <v>219</v>
      </c>
      <c r="O73" s="215">
        <v>219</v>
      </c>
      <c r="P73" s="215">
        <v>219</v>
      </c>
      <c r="Q73" s="215">
        <v>219</v>
      </c>
      <c r="R73" s="215">
        <v>219</v>
      </c>
      <c r="S73" s="215">
        <v>219</v>
      </c>
      <c r="T73" s="215">
        <v>219</v>
      </c>
      <c r="U73" s="215">
        <v>219</v>
      </c>
      <c r="V73" s="222">
        <f t="shared" si="7"/>
        <v>919800</v>
      </c>
    </row>
    <row r="74" spans="1:22">
      <c r="A74" s="218" t="s">
        <v>258</v>
      </c>
      <c r="B74" s="218" t="s">
        <v>253</v>
      </c>
      <c r="C74" s="218" t="s">
        <v>205</v>
      </c>
      <c r="D74" s="218">
        <v>37</v>
      </c>
      <c r="E74" s="159">
        <v>6750</v>
      </c>
      <c r="F74" s="157"/>
      <c r="G74" s="157"/>
      <c r="H74" s="157"/>
      <c r="I74" s="157"/>
      <c r="J74" s="218">
        <v>37</v>
      </c>
      <c r="K74" s="218">
        <v>37</v>
      </c>
      <c r="L74" s="218">
        <v>37</v>
      </c>
      <c r="M74" s="218">
        <v>37</v>
      </c>
      <c r="N74" s="218">
        <v>37</v>
      </c>
      <c r="O74" s="218">
        <v>37</v>
      </c>
      <c r="P74" s="218">
        <v>37</v>
      </c>
      <c r="Q74" s="218">
        <v>37</v>
      </c>
      <c r="R74" s="218">
        <v>37</v>
      </c>
      <c r="S74" s="218">
        <v>37</v>
      </c>
      <c r="T74" s="218">
        <v>37</v>
      </c>
      <c r="U74" s="218">
        <v>37</v>
      </c>
      <c r="V74" s="222">
        <f t="shared" si="7"/>
        <v>249750</v>
      </c>
    </row>
    <row r="75" spans="1:22">
      <c r="A75" s="218" t="s">
        <v>258</v>
      </c>
      <c r="B75" s="218" t="s">
        <v>253</v>
      </c>
      <c r="C75" s="218" t="s">
        <v>259</v>
      </c>
      <c r="D75" s="218">
        <v>37</v>
      </c>
      <c r="E75" s="159">
        <v>600</v>
      </c>
      <c r="F75" s="157"/>
      <c r="G75" s="157"/>
      <c r="H75" s="157"/>
      <c r="I75" s="157"/>
      <c r="J75" s="218">
        <v>37</v>
      </c>
      <c r="K75" s="218">
        <v>37</v>
      </c>
      <c r="L75" s="218">
        <v>37</v>
      </c>
      <c r="M75" s="218">
        <v>37</v>
      </c>
      <c r="N75" s="218">
        <v>37</v>
      </c>
      <c r="O75" s="218">
        <v>37</v>
      </c>
      <c r="P75" s="218">
        <v>37</v>
      </c>
      <c r="Q75" s="218">
        <v>37</v>
      </c>
      <c r="R75" s="218">
        <v>37</v>
      </c>
      <c r="S75" s="218">
        <v>37</v>
      </c>
      <c r="T75" s="218">
        <v>37</v>
      </c>
      <c r="U75" s="218">
        <v>37</v>
      </c>
      <c r="V75" s="222">
        <f t="shared" si="7"/>
        <v>22200</v>
      </c>
    </row>
    <row r="76" spans="1:22">
      <c r="A76" s="218" t="s">
        <v>258</v>
      </c>
      <c r="B76" s="218" t="s">
        <v>253</v>
      </c>
      <c r="C76" s="218" t="s">
        <v>260</v>
      </c>
      <c r="D76" s="218">
        <v>37</v>
      </c>
      <c r="E76" s="159">
        <v>590</v>
      </c>
      <c r="F76" s="157"/>
      <c r="G76" s="157"/>
      <c r="H76" s="157"/>
      <c r="I76" s="157"/>
      <c r="J76" s="218">
        <v>37</v>
      </c>
      <c r="K76" s="218">
        <v>37</v>
      </c>
      <c r="L76" s="218">
        <v>37</v>
      </c>
      <c r="M76" s="218">
        <v>37</v>
      </c>
      <c r="N76" s="218">
        <v>37</v>
      </c>
      <c r="O76" s="218">
        <v>37</v>
      </c>
      <c r="P76" s="218">
        <v>37</v>
      </c>
      <c r="Q76" s="218">
        <v>37</v>
      </c>
      <c r="R76" s="218">
        <v>37</v>
      </c>
      <c r="S76" s="218">
        <v>37</v>
      </c>
      <c r="T76" s="218">
        <v>37</v>
      </c>
      <c r="U76" s="218">
        <v>37</v>
      </c>
      <c r="V76" s="222">
        <f t="shared" si="7"/>
        <v>21830</v>
      </c>
    </row>
    <row r="77" spans="1:22">
      <c r="A77" s="218" t="s">
        <v>258</v>
      </c>
      <c r="B77" s="218" t="s">
        <v>253</v>
      </c>
      <c r="C77" s="218" t="s">
        <v>261</v>
      </c>
      <c r="D77" s="218">
        <v>2</v>
      </c>
      <c r="E77" s="159">
        <v>5270</v>
      </c>
      <c r="F77" s="157"/>
      <c r="G77" s="157"/>
      <c r="H77" s="157"/>
      <c r="I77" s="157"/>
      <c r="J77" s="218">
        <v>2</v>
      </c>
      <c r="K77" s="218">
        <v>2</v>
      </c>
      <c r="L77" s="218">
        <v>2</v>
      </c>
      <c r="M77" s="218">
        <v>2</v>
      </c>
      <c r="N77" s="218">
        <v>2</v>
      </c>
      <c r="O77" s="218">
        <v>2</v>
      </c>
      <c r="P77" s="218">
        <v>2</v>
      </c>
      <c r="Q77" s="218">
        <v>2</v>
      </c>
      <c r="R77" s="218">
        <v>2</v>
      </c>
      <c r="S77" s="218">
        <v>2</v>
      </c>
      <c r="T77" s="218">
        <v>2</v>
      </c>
      <c r="U77" s="218">
        <v>2</v>
      </c>
      <c r="V77" s="222">
        <f t="shared" si="7"/>
        <v>10540</v>
      </c>
    </row>
    <row r="78" spans="1:22">
      <c r="A78" s="218" t="s">
        <v>258</v>
      </c>
      <c r="B78" s="218" t="s">
        <v>253</v>
      </c>
      <c r="C78" s="218" t="s">
        <v>262</v>
      </c>
      <c r="D78" s="218">
        <v>3</v>
      </c>
      <c r="E78" s="159">
        <v>3690</v>
      </c>
      <c r="F78" s="157"/>
      <c r="G78" s="157"/>
      <c r="H78" s="157"/>
      <c r="I78" s="157"/>
      <c r="J78" s="218">
        <v>3</v>
      </c>
      <c r="K78" s="218">
        <v>3</v>
      </c>
      <c r="L78" s="218">
        <v>3</v>
      </c>
      <c r="M78" s="218">
        <v>3</v>
      </c>
      <c r="N78" s="218">
        <v>3</v>
      </c>
      <c r="O78" s="218">
        <v>3</v>
      </c>
      <c r="P78" s="218">
        <v>3</v>
      </c>
      <c r="Q78" s="218">
        <v>3</v>
      </c>
      <c r="R78" s="218">
        <v>3</v>
      </c>
      <c r="S78" s="218">
        <v>3</v>
      </c>
      <c r="T78" s="218">
        <v>3</v>
      </c>
      <c r="U78" s="218">
        <v>3</v>
      </c>
      <c r="V78" s="222">
        <f t="shared" si="7"/>
        <v>11070</v>
      </c>
    </row>
    <row r="79" spans="1:22">
      <c r="A79" s="218" t="s">
        <v>258</v>
      </c>
      <c r="B79" s="218" t="s">
        <v>79</v>
      </c>
      <c r="C79" s="218" t="s">
        <v>263</v>
      </c>
      <c r="D79" s="218">
        <v>190</v>
      </c>
      <c r="E79" s="159">
        <v>3850</v>
      </c>
      <c r="F79" s="157"/>
      <c r="G79" s="157"/>
      <c r="H79" s="157"/>
      <c r="I79" s="157"/>
      <c r="J79" s="218">
        <v>190</v>
      </c>
      <c r="K79" s="218">
        <v>190</v>
      </c>
      <c r="L79" s="218">
        <v>190</v>
      </c>
      <c r="M79" s="218">
        <v>190</v>
      </c>
      <c r="N79" s="218">
        <v>190</v>
      </c>
      <c r="O79" s="218">
        <v>190</v>
      </c>
      <c r="P79" s="218">
        <v>190</v>
      </c>
      <c r="Q79" s="218">
        <v>190</v>
      </c>
      <c r="R79" s="218">
        <v>190</v>
      </c>
      <c r="S79" s="218">
        <v>190</v>
      </c>
      <c r="T79" s="218">
        <v>190</v>
      </c>
      <c r="U79" s="218">
        <v>190</v>
      </c>
      <c r="V79" s="222">
        <f t="shared" si="7"/>
        <v>731500</v>
      </c>
    </row>
    <row r="80" spans="1:22">
      <c r="A80" s="218" t="s">
        <v>258</v>
      </c>
      <c r="B80" s="218" t="s">
        <v>79</v>
      </c>
      <c r="C80" s="218" t="s">
        <v>264</v>
      </c>
      <c r="D80" s="211">
        <v>90</v>
      </c>
      <c r="E80" s="159">
        <v>4010</v>
      </c>
      <c r="J80" s="218">
        <v>90</v>
      </c>
      <c r="K80" s="218">
        <v>90</v>
      </c>
      <c r="L80" s="218">
        <v>90</v>
      </c>
      <c r="M80" s="218">
        <v>90</v>
      </c>
      <c r="N80" s="218">
        <v>90</v>
      </c>
      <c r="O80" s="218">
        <v>90</v>
      </c>
      <c r="P80" s="218">
        <v>90</v>
      </c>
      <c r="Q80" s="218">
        <v>90</v>
      </c>
      <c r="R80" s="218">
        <v>90</v>
      </c>
      <c r="S80" s="218">
        <v>90</v>
      </c>
      <c r="T80" s="218">
        <v>90</v>
      </c>
      <c r="U80" s="218">
        <v>90</v>
      </c>
      <c r="V80" s="222">
        <f t="shared" si="7"/>
        <v>360900</v>
      </c>
    </row>
    <row r="81" spans="1:24" ht="18.600000000000001" thickBot="1">
      <c r="A81" s="212" t="s">
        <v>258</v>
      </c>
      <c r="B81" s="212" t="s">
        <v>265</v>
      </c>
      <c r="C81" s="212" t="s">
        <v>266</v>
      </c>
      <c r="D81" s="213">
        <v>80</v>
      </c>
      <c r="E81" s="214">
        <v>4130</v>
      </c>
      <c r="F81" s="212"/>
      <c r="G81" s="212"/>
      <c r="H81" s="212"/>
      <c r="I81" s="212"/>
      <c r="J81" s="212">
        <v>80</v>
      </c>
      <c r="K81" s="212">
        <v>80</v>
      </c>
      <c r="L81" s="212">
        <v>80</v>
      </c>
      <c r="M81" s="212">
        <v>80</v>
      </c>
      <c r="N81" s="212">
        <v>80</v>
      </c>
      <c r="O81" s="212">
        <v>80</v>
      </c>
      <c r="P81" s="212">
        <v>80</v>
      </c>
      <c r="Q81" s="212">
        <v>80</v>
      </c>
      <c r="R81" s="212">
        <v>80</v>
      </c>
      <c r="S81" s="212">
        <v>80</v>
      </c>
      <c r="T81" s="212">
        <v>80</v>
      </c>
      <c r="U81" s="212">
        <v>80</v>
      </c>
      <c r="V81" s="223">
        <f t="shared" si="7"/>
        <v>330400</v>
      </c>
      <c r="W81" s="212"/>
      <c r="X81" s="224"/>
    </row>
    <row r="82" spans="1:24" ht="18.600000000000001" thickTop="1">
      <c r="A82" s="218" t="s">
        <v>267</v>
      </c>
      <c r="D82" s="215">
        <f>SUM(F82:I82)</f>
        <v>395</v>
      </c>
      <c r="E82" s="159">
        <v>4500</v>
      </c>
      <c r="F82" s="157">
        <v>235</v>
      </c>
      <c r="G82" s="218">
        <v>100</v>
      </c>
      <c r="H82" s="218">
        <v>10</v>
      </c>
      <c r="I82" s="218">
        <v>50</v>
      </c>
      <c r="J82" s="218">
        <v>0</v>
      </c>
      <c r="K82" s="218">
        <v>100</v>
      </c>
      <c r="L82" s="218">
        <v>150</v>
      </c>
      <c r="M82" s="218">
        <v>190</v>
      </c>
      <c r="N82" s="218">
        <v>230</v>
      </c>
      <c r="O82" s="218">
        <v>270</v>
      </c>
      <c r="P82" s="218">
        <v>310</v>
      </c>
      <c r="Q82" s="218">
        <v>350</v>
      </c>
      <c r="R82" s="218">
        <v>380</v>
      </c>
      <c r="S82" s="218">
        <v>395</v>
      </c>
      <c r="T82" s="218">
        <v>395</v>
      </c>
      <c r="U82" s="218">
        <v>395</v>
      </c>
      <c r="V82" s="222">
        <f t="shared" si="7"/>
        <v>1777500</v>
      </c>
    </row>
    <row r="83" spans="1:24">
      <c r="U83" s="218" t="s">
        <v>270</v>
      </c>
      <c r="V83" s="157">
        <f>SUM(V71:V82)</f>
        <v>4435490</v>
      </c>
    </row>
    <row r="84" spans="1:24">
      <c r="U84" s="227" t="s">
        <v>271</v>
      </c>
      <c r="V84" s="228">
        <v>4500000</v>
      </c>
    </row>
    <row r="85" spans="1:24">
      <c r="V85" s="157"/>
    </row>
    <row r="86" spans="1:24">
      <c r="J86" s="159">
        <f t="shared" ref="J86:U86" si="8">SUM($V$70:$V$81)+$E$82*J$82</f>
        <v>2657990</v>
      </c>
      <c r="K86" s="159">
        <f t="shared" si="8"/>
        <v>3107990</v>
      </c>
      <c r="L86" s="159">
        <f t="shared" si="8"/>
        <v>3332990</v>
      </c>
      <c r="M86" s="159">
        <f t="shared" si="8"/>
        <v>3512990</v>
      </c>
      <c r="N86" s="159">
        <f t="shared" si="8"/>
        <v>3692990</v>
      </c>
      <c r="O86" s="159">
        <f t="shared" si="8"/>
        <v>3872990</v>
      </c>
      <c r="P86" s="159">
        <f t="shared" si="8"/>
        <v>4052990</v>
      </c>
      <c r="Q86" s="159">
        <f t="shared" si="8"/>
        <v>4232990</v>
      </c>
      <c r="R86" s="159">
        <f t="shared" si="8"/>
        <v>4367990</v>
      </c>
      <c r="S86" s="159">
        <f t="shared" si="8"/>
        <v>4435490</v>
      </c>
      <c r="T86" s="159">
        <f t="shared" si="8"/>
        <v>4435490</v>
      </c>
      <c r="U86" s="159">
        <f t="shared" si="8"/>
        <v>4435490</v>
      </c>
      <c r="V86" s="157"/>
    </row>
    <row r="87" spans="1:24">
      <c r="J87" s="229">
        <v>2700000</v>
      </c>
      <c r="K87" s="229">
        <v>3200000</v>
      </c>
      <c r="L87" s="229">
        <v>3400000</v>
      </c>
      <c r="M87" s="229">
        <v>3600000</v>
      </c>
      <c r="N87" s="229">
        <v>3700000</v>
      </c>
      <c r="O87" s="229">
        <v>3900000</v>
      </c>
      <c r="P87" s="229">
        <v>4100000</v>
      </c>
      <c r="Q87" s="229">
        <v>4300000</v>
      </c>
      <c r="R87" s="229">
        <v>4400000</v>
      </c>
      <c r="S87" s="226">
        <v>4500000</v>
      </c>
      <c r="T87" s="226">
        <v>4500000</v>
      </c>
      <c r="U87" s="226">
        <v>4500000</v>
      </c>
      <c r="V87" s="228">
        <f>SUM(J87:U87)</f>
        <v>46800000</v>
      </c>
    </row>
    <row r="88" spans="1:24">
      <c r="V88" s="157"/>
    </row>
    <row r="90" spans="1:24">
      <c r="A90" s="218" t="s">
        <v>272</v>
      </c>
    </row>
    <row r="91" spans="1:24">
      <c r="J91" s="218" t="s">
        <v>249</v>
      </c>
      <c r="K91" s="218" t="s">
        <v>250</v>
      </c>
      <c r="L91" s="218" t="s">
        <v>129</v>
      </c>
      <c r="M91" s="218" t="s">
        <v>130</v>
      </c>
      <c r="N91" s="218" t="s">
        <v>131</v>
      </c>
      <c r="O91" s="218" t="s">
        <v>132</v>
      </c>
      <c r="P91" s="218" t="s">
        <v>133</v>
      </c>
      <c r="Q91" s="218" t="s">
        <v>134</v>
      </c>
      <c r="R91" s="218" t="s">
        <v>135</v>
      </c>
      <c r="S91" s="218" t="s">
        <v>136</v>
      </c>
      <c r="T91" s="218" t="s">
        <v>137</v>
      </c>
      <c r="U91" s="218" t="s">
        <v>138</v>
      </c>
      <c r="V91" s="218" t="s">
        <v>122</v>
      </c>
    </row>
    <row r="92" spans="1:24">
      <c r="H92" s="218" t="s">
        <v>273</v>
      </c>
      <c r="J92" s="230">
        <v>2559100</v>
      </c>
      <c r="K92" s="230">
        <v>2559100</v>
      </c>
      <c r="L92" s="230">
        <v>3059100</v>
      </c>
      <c r="M92" s="230">
        <v>3059100</v>
      </c>
      <c r="N92" s="230">
        <v>3059100</v>
      </c>
      <c r="O92" s="230">
        <v>3059100</v>
      </c>
      <c r="P92" s="230">
        <v>3059100</v>
      </c>
      <c r="Q92" s="230">
        <v>3059100</v>
      </c>
      <c r="R92" s="230">
        <v>3059100</v>
      </c>
      <c r="S92" s="230">
        <v>3059100</v>
      </c>
      <c r="T92" s="230">
        <v>3059100</v>
      </c>
      <c r="U92" s="230">
        <v>3059100</v>
      </c>
      <c r="V92" s="230">
        <f>SUM($J92:$U92)</f>
        <v>35709200</v>
      </c>
    </row>
    <row r="93" spans="1:24">
      <c r="H93" s="218" t="s">
        <v>274</v>
      </c>
      <c r="I93" s="218" t="s">
        <v>122</v>
      </c>
      <c r="J93" s="230">
        <f t="shared" ref="J93:V93" si="9">SUM(J$54:J$56)</f>
        <v>2654910</v>
      </c>
      <c r="K93" s="230">
        <f t="shared" si="9"/>
        <v>2251159.9999999995</v>
      </c>
      <c r="L93" s="230">
        <f t="shared" si="9"/>
        <v>2540259.9999999995</v>
      </c>
      <c r="M93" s="230">
        <f t="shared" si="9"/>
        <v>2536040</v>
      </c>
      <c r="N93" s="230">
        <f t="shared" si="9"/>
        <v>2639239.9999999995</v>
      </c>
      <c r="O93" s="230">
        <f t="shared" si="9"/>
        <v>2638469.9999999995</v>
      </c>
      <c r="P93" s="230">
        <f t="shared" si="9"/>
        <v>2762369.9999999995</v>
      </c>
      <c r="Q93" s="230">
        <f t="shared" si="9"/>
        <v>2689009.9999999995</v>
      </c>
      <c r="R93" s="230">
        <f t="shared" si="9"/>
        <v>2689009.9999999995</v>
      </c>
      <c r="S93" s="230">
        <f t="shared" si="9"/>
        <v>2969710</v>
      </c>
      <c r="T93" s="230">
        <f t="shared" si="9"/>
        <v>2969710</v>
      </c>
      <c r="U93" s="230">
        <f t="shared" si="9"/>
        <v>2969710</v>
      </c>
      <c r="V93" s="230">
        <f t="shared" si="9"/>
        <v>32309600</v>
      </c>
    </row>
    <row r="94" spans="1:24">
      <c r="I94" s="218" t="s">
        <v>275</v>
      </c>
      <c r="J94" s="230">
        <f>2793351/1.1</f>
        <v>2539410</v>
      </c>
      <c r="K94" s="230">
        <f>1904551/1.1</f>
        <v>1731409.9999999998</v>
      </c>
      <c r="L94" s="230">
        <f>1904551/1.1</f>
        <v>1731409.9999999998</v>
      </c>
      <c r="M94" s="230">
        <f>1910689/1.1</f>
        <v>1736989.9999999998</v>
      </c>
      <c r="N94" s="230">
        <f>1871364/1.1</f>
        <v>1701239.9999999998</v>
      </c>
      <c r="O94" s="230">
        <f>1870517/1.1</f>
        <v>1700469.9999999998</v>
      </c>
      <c r="P94" s="230">
        <f>1870517/1.1</f>
        <v>1700469.9999999998</v>
      </c>
      <c r="Q94" s="230">
        <f>1789821/1.1</f>
        <v>1627109.9999999998</v>
      </c>
      <c r="R94" s="172">
        <f>1789821/1.1</f>
        <v>1627109.9999999998</v>
      </c>
      <c r="S94" s="172">
        <f>1789821/1.1</f>
        <v>1627109.9999999998</v>
      </c>
      <c r="T94" s="172">
        <f>1789821/1.1</f>
        <v>1627109.9999999998</v>
      </c>
      <c r="U94" s="172">
        <f>1789821/1.1</f>
        <v>1627109.9999999998</v>
      </c>
      <c r="V94" s="172">
        <f>SUM($J94:$U94)</f>
        <v>20976950</v>
      </c>
    </row>
    <row r="95" spans="1:24">
      <c r="I95" s="218" t="s">
        <v>276</v>
      </c>
      <c r="J95" s="230">
        <f>127050/1.1</f>
        <v>115499.99999999999</v>
      </c>
      <c r="K95" s="230">
        <f>571725/1.1</f>
        <v>519749.99999999994</v>
      </c>
      <c r="L95" s="230">
        <f>571725/1.1</f>
        <v>519749.99999999994</v>
      </c>
      <c r="M95" s="230">
        <f>719950/1.1</f>
        <v>654500</v>
      </c>
      <c r="N95" s="230">
        <f>804650/1.1</f>
        <v>731499.99999999988</v>
      </c>
      <c r="O95" s="230">
        <f>804650/1.1</f>
        <v>731499.99999999988</v>
      </c>
      <c r="P95" s="230">
        <f>804650/1.1</f>
        <v>731499.99999999988</v>
      </c>
      <c r="Q95" s="230">
        <f>804650/1.1</f>
        <v>731499.99999999988</v>
      </c>
      <c r="R95" s="172">
        <f>804650/1.1</f>
        <v>731499.99999999988</v>
      </c>
      <c r="S95" s="172">
        <v>1012200</v>
      </c>
      <c r="T95" s="172">
        <v>1012200</v>
      </c>
      <c r="U95" s="172">
        <v>1012200</v>
      </c>
      <c r="V95" s="172">
        <f>SUM($J95:$U95)</f>
        <v>8503600</v>
      </c>
    </row>
    <row r="96" spans="1:24">
      <c r="I96" s="218" t="s">
        <v>277</v>
      </c>
      <c r="J96" s="230">
        <v>0</v>
      </c>
      <c r="K96" s="230">
        <v>0</v>
      </c>
      <c r="L96" s="230">
        <f>318010/1.1</f>
        <v>289100</v>
      </c>
      <c r="M96" s="230">
        <f>159005/1.1</f>
        <v>144550</v>
      </c>
      <c r="N96" s="230">
        <f>227150/1.1</f>
        <v>206499.99999999997</v>
      </c>
      <c r="O96" s="230">
        <f>227150/1.1</f>
        <v>206499.99999999997</v>
      </c>
      <c r="P96" s="230">
        <f t="shared" ref="P96:U96" si="10">363440/1.1</f>
        <v>330400</v>
      </c>
      <c r="Q96" s="230">
        <f t="shared" si="10"/>
        <v>330400</v>
      </c>
      <c r="R96" s="172">
        <f t="shared" si="10"/>
        <v>330400</v>
      </c>
      <c r="S96" s="172">
        <f t="shared" si="10"/>
        <v>330400</v>
      </c>
      <c r="T96" s="172">
        <f t="shared" si="10"/>
        <v>330400</v>
      </c>
      <c r="U96" s="172">
        <f t="shared" si="10"/>
        <v>330400</v>
      </c>
      <c r="V96" s="172">
        <f>SUM($J96:$U96)</f>
        <v>2829050</v>
      </c>
    </row>
    <row r="97" spans="1:39">
      <c r="H97" s="218" t="s">
        <v>278</v>
      </c>
      <c r="J97" s="230">
        <f t="shared" ref="J97:V97" si="11">J$53-J$52</f>
        <v>95810</v>
      </c>
      <c r="K97" s="230">
        <f t="shared" si="11"/>
        <v>-307940.00000000047</v>
      </c>
      <c r="L97" s="230">
        <f t="shared" si="11"/>
        <v>-518840.00000000047</v>
      </c>
      <c r="M97" s="230">
        <f t="shared" si="11"/>
        <v>-523060</v>
      </c>
      <c r="N97" s="230">
        <f t="shared" si="11"/>
        <v>-419860.00000000047</v>
      </c>
      <c r="O97" s="230">
        <f t="shared" si="11"/>
        <v>-420630.00000000047</v>
      </c>
      <c r="P97" s="230">
        <f t="shared" si="11"/>
        <v>-296730.00000000047</v>
      </c>
      <c r="Q97" s="230">
        <f t="shared" si="11"/>
        <v>-370090.00000000047</v>
      </c>
      <c r="R97" s="172">
        <f t="shared" si="11"/>
        <v>-370090.00000000047</v>
      </c>
      <c r="S97" s="172">
        <f t="shared" si="11"/>
        <v>-89390</v>
      </c>
      <c r="T97" s="172">
        <f t="shared" si="11"/>
        <v>-89390</v>
      </c>
      <c r="U97" s="172">
        <f t="shared" si="11"/>
        <v>-89390</v>
      </c>
      <c r="V97" s="172">
        <f t="shared" si="11"/>
        <v>-3399600</v>
      </c>
    </row>
    <row r="101" spans="1:39">
      <c r="H101" s="218" t="s">
        <v>279</v>
      </c>
      <c r="J101" s="218" t="s">
        <v>249</v>
      </c>
      <c r="K101" s="218" t="s">
        <v>250</v>
      </c>
      <c r="L101" s="218" t="s">
        <v>129</v>
      </c>
      <c r="M101" s="218" t="s">
        <v>130</v>
      </c>
      <c r="N101" s="218" t="s">
        <v>131</v>
      </c>
      <c r="O101" s="218" t="s">
        <v>132</v>
      </c>
      <c r="P101" s="218" t="s">
        <v>133</v>
      </c>
      <c r="Q101" s="218" t="s">
        <v>134</v>
      </c>
      <c r="R101" s="218" t="s">
        <v>135</v>
      </c>
      <c r="S101" s="218" t="s">
        <v>136</v>
      </c>
      <c r="T101" s="218" t="s">
        <v>137</v>
      </c>
      <c r="U101" s="218" t="s">
        <v>138</v>
      </c>
      <c r="X101" s="26" t="s">
        <v>280</v>
      </c>
    </row>
    <row r="102" spans="1:39">
      <c r="I102" s="218" t="s">
        <v>263</v>
      </c>
      <c r="J102" s="218">
        <v>0</v>
      </c>
      <c r="K102" s="218">
        <v>0</v>
      </c>
      <c r="L102" s="218">
        <v>35</v>
      </c>
      <c r="M102" s="218">
        <v>35</v>
      </c>
      <c r="N102" s="218">
        <v>55</v>
      </c>
      <c r="O102" s="218">
        <v>55</v>
      </c>
      <c r="P102" s="218">
        <v>55</v>
      </c>
      <c r="Q102" s="218">
        <v>55</v>
      </c>
      <c r="R102" s="218">
        <v>55</v>
      </c>
      <c r="S102" s="218">
        <v>55</v>
      </c>
      <c r="T102" s="218">
        <v>55</v>
      </c>
      <c r="U102" s="218">
        <v>55</v>
      </c>
      <c r="X102" s="26">
        <v>135</v>
      </c>
    </row>
    <row r="103" spans="1:39">
      <c r="I103" s="218" t="s">
        <v>281</v>
      </c>
      <c r="J103" s="218">
        <v>0</v>
      </c>
      <c r="K103" s="218">
        <v>35</v>
      </c>
      <c r="L103" s="218">
        <v>35</v>
      </c>
      <c r="M103" s="218">
        <v>50</v>
      </c>
      <c r="N103" s="218">
        <v>50</v>
      </c>
      <c r="O103" s="218">
        <v>80</v>
      </c>
      <c r="P103" s="218">
        <v>80</v>
      </c>
      <c r="Q103" s="218">
        <v>80</v>
      </c>
      <c r="R103" s="218">
        <v>80</v>
      </c>
      <c r="S103" s="218">
        <v>80</v>
      </c>
      <c r="T103" s="218">
        <v>80</v>
      </c>
      <c r="U103" s="218">
        <v>80</v>
      </c>
    </row>
    <row r="104" spans="1:39">
      <c r="I104" s="218" t="s">
        <v>282</v>
      </c>
      <c r="J104" s="218">
        <v>0</v>
      </c>
      <c r="K104" s="218">
        <v>0</v>
      </c>
      <c r="L104" s="218">
        <v>0</v>
      </c>
      <c r="M104" s="218">
        <v>0</v>
      </c>
      <c r="N104" s="218">
        <v>0</v>
      </c>
      <c r="O104" s="218">
        <v>0</v>
      </c>
      <c r="P104" s="218">
        <v>50</v>
      </c>
      <c r="Q104" s="218">
        <v>50</v>
      </c>
      <c r="R104" s="218">
        <v>70</v>
      </c>
      <c r="S104" s="218">
        <v>70</v>
      </c>
      <c r="T104" s="218">
        <v>70</v>
      </c>
      <c r="U104" s="218">
        <v>70</v>
      </c>
    </row>
    <row r="105" spans="1:39">
      <c r="A105" s="218" t="s">
        <v>285</v>
      </c>
      <c r="U105" s="218" t="s">
        <v>122</v>
      </c>
      <c r="V105" s="218">
        <f>SUM(U102:U104)</f>
        <v>205</v>
      </c>
    </row>
    <row r="106" spans="1:39">
      <c r="A106" s="218" t="s">
        <v>286</v>
      </c>
    </row>
    <row r="107" spans="1:39">
      <c r="A107" s="218" t="s">
        <v>287</v>
      </c>
    </row>
    <row r="108" spans="1:39"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</row>
    <row r="110" spans="1:39">
      <c r="A110" s="218" t="s">
        <v>241</v>
      </c>
      <c r="V110" s="219"/>
    </row>
    <row r="111" spans="1:39" ht="18.600000000000001" thickBot="1">
      <c r="A111" s="218" t="s">
        <v>242</v>
      </c>
      <c r="B111" s="218" t="s">
        <v>243</v>
      </c>
      <c r="C111" s="218" t="s">
        <v>244</v>
      </c>
      <c r="D111" s="218" t="s">
        <v>245</v>
      </c>
      <c r="E111" s="218" t="s">
        <v>246</v>
      </c>
      <c r="F111" s="218" t="s">
        <v>237</v>
      </c>
      <c r="G111" s="218" t="s">
        <v>247</v>
      </c>
      <c r="H111" s="218" t="s">
        <v>248</v>
      </c>
      <c r="I111" s="218" t="s">
        <v>7</v>
      </c>
      <c r="J111" s="218" t="s">
        <v>249</v>
      </c>
      <c r="K111" s="218" t="s">
        <v>250</v>
      </c>
      <c r="L111" s="218" t="s">
        <v>129</v>
      </c>
      <c r="M111" s="218" t="s">
        <v>130</v>
      </c>
      <c r="N111" s="218" t="s">
        <v>131</v>
      </c>
      <c r="O111" s="218" t="s">
        <v>132</v>
      </c>
      <c r="P111" s="218" t="s">
        <v>133</v>
      </c>
      <c r="Q111" s="218" t="s">
        <v>134</v>
      </c>
      <c r="R111" s="218" t="s">
        <v>135</v>
      </c>
      <c r="S111" s="218" t="s">
        <v>136</v>
      </c>
      <c r="T111" s="218" t="s">
        <v>137</v>
      </c>
      <c r="U111" s="218" t="s">
        <v>138</v>
      </c>
      <c r="V111" s="219" t="s">
        <v>251</v>
      </c>
      <c r="Z111" s="5"/>
      <c r="AA111" s="231" t="s">
        <v>249</v>
      </c>
      <c r="AB111" s="231" t="s">
        <v>250</v>
      </c>
      <c r="AC111" s="231" t="s">
        <v>129</v>
      </c>
      <c r="AD111" s="231" t="s">
        <v>130</v>
      </c>
      <c r="AE111" s="231" t="s">
        <v>131</v>
      </c>
      <c r="AF111" s="231" t="s">
        <v>132</v>
      </c>
      <c r="AG111" s="231" t="s">
        <v>133</v>
      </c>
      <c r="AH111" s="231" t="s">
        <v>134</v>
      </c>
      <c r="AI111" s="231" t="s">
        <v>135</v>
      </c>
      <c r="AJ111" s="231" t="s">
        <v>136</v>
      </c>
      <c r="AK111" s="231" t="s">
        <v>137</v>
      </c>
      <c r="AL111" s="231" t="s">
        <v>138</v>
      </c>
      <c r="AM111" s="232" t="s">
        <v>156</v>
      </c>
    </row>
    <row r="112" spans="1:39" ht="18.600000000000001" thickTop="1">
      <c r="A112" s="209" t="s">
        <v>252</v>
      </c>
      <c r="B112" s="209" t="s">
        <v>253</v>
      </c>
      <c r="C112" s="209" t="s">
        <v>254</v>
      </c>
      <c r="D112" s="209">
        <v>0</v>
      </c>
      <c r="E112" s="210">
        <v>4030</v>
      </c>
      <c r="F112" s="220"/>
      <c r="G112" s="209"/>
      <c r="H112" s="209"/>
      <c r="I112" s="209"/>
      <c r="J112" s="209">
        <v>0</v>
      </c>
      <c r="K112" s="209">
        <v>0</v>
      </c>
      <c r="L112" s="209">
        <v>0</v>
      </c>
      <c r="M112" s="209">
        <v>0</v>
      </c>
      <c r="N112" s="209">
        <v>0</v>
      </c>
      <c r="O112" s="209">
        <v>0</v>
      </c>
      <c r="P112" s="209">
        <v>0</v>
      </c>
      <c r="Q112" s="209">
        <v>0</v>
      </c>
      <c r="R112" s="209">
        <v>0</v>
      </c>
      <c r="S112" s="209">
        <v>0</v>
      </c>
      <c r="T112" s="209">
        <v>0</v>
      </c>
      <c r="U112" s="209">
        <v>0</v>
      </c>
      <c r="V112" s="221">
        <f t="shared" ref="V112:V123" si="12">$D112*$E112</f>
        <v>0</v>
      </c>
      <c r="Z112" s="233" t="s">
        <v>254</v>
      </c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</row>
    <row r="113" spans="1:42">
      <c r="A113" s="218" t="s">
        <v>252</v>
      </c>
      <c r="B113" s="218" t="s">
        <v>253</v>
      </c>
      <c r="C113" s="218" t="s">
        <v>255</v>
      </c>
      <c r="D113" s="218">
        <v>0</v>
      </c>
      <c r="E113" s="159">
        <v>4030</v>
      </c>
      <c r="F113" s="157"/>
      <c r="G113" s="157"/>
      <c r="H113" s="157"/>
      <c r="I113" s="157"/>
      <c r="J113" s="157">
        <v>0</v>
      </c>
      <c r="K113" s="157">
        <v>0</v>
      </c>
      <c r="L113" s="157">
        <v>0</v>
      </c>
      <c r="M113" s="157">
        <v>0</v>
      </c>
      <c r="N113" s="157">
        <v>0</v>
      </c>
      <c r="O113" s="157">
        <v>0</v>
      </c>
      <c r="P113" s="157">
        <v>0</v>
      </c>
      <c r="Q113" s="157">
        <v>0</v>
      </c>
      <c r="R113" s="157">
        <v>0</v>
      </c>
      <c r="S113" s="157">
        <v>0</v>
      </c>
      <c r="T113" s="157">
        <v>0</v>
      </c>
      <c r="U113" s="157">
        <v>0</v>
      </c>
      <c r="V113" s="222">
        <f t="shared" si="12"/>
        <v>0</v>
      </c>
      <c r="Z113" s="211" t="s">
        <v>255</v>
      </c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</row>
    <row r="114" spans="1:42">
      <c r="A114" s="218" t="s">
        <v>256</v>
      </c>
      <c r="B114" s="218" t="s">
        <v>253</v>
      </c>
      <c r="C114" s="218" t="s">
        <v>257</v>
      </c>
      <c r="D114" s="218">
        <v>219</v>
      </c>
      <c r="E114" s="159">
        <v>4200</v>
      </c>
      <c r="F114" s="157"/>
      <c r="G114" s="157"/>
      <c r="H114" s="157"/>
      <c r="I114" s="157"/>
      <c r="J114" s="215">
        <v>206</v>
      </c>
      <c r="K114" s="215">
        <v>206</v>
      </c>
      <c r="L114" s="215">
        <v>206</v>
      </c>
      <c r="M114" s="215">
        <v>206</v>
      </c>
      <c r="N114" s="215">
        <v>206</v>
      </c>
      <c r="O114" s="215">
        <v>206</v>
      </c>
      <c r="P114" s="215">
        <v>206</v>
      </c>
      <c r="Q114" s="215">
        <v>206</v>
      </c>
      <c r="R114" s="215">
        <v>206</v>
      </c>
      <c r="S114" s="215">
        <v>206</v>
      </c>
      <c r="T114" s="215">
        <v>206</v>
      </c>
      <c r="U114" s="215">
        <v>206</v>
      </c>
      <c r="V114" s="222">
        <f t="shared" si="12"/>
        <v>919800</v>
      </c>
      <c r="Z114" s="211" t="s">
        <v>257</v>
      </c>
      <c r="AA114" s="232">
        <f t="shared" ref="AA114:AA123" si="13">J114*$E114</f>
        <v>865200</v>
      </c>
      <c r="AB114" s="232">
        <f t="shared" ref="AB114:AB123" si="14">K114*$E114</f>
        <v>865200</v>
      </c>
      <c r="AC114" s="232">
        <f t="shared" ref="AC114:AC123" si="15">L114*$E114</f>
        <v>865200</v>
      </c>
      <c r="AD114" s="232">
        <f t="shared" ref="AD114:AD123" si="16">M114*$E114</f>
        <v>865200</v>
      </c>
      <c r="AE114" s="232">
        <f t="shared" ref="AE114:AE123" si="17">N114*$E114</f>
        <v>865200</v>
      </c>
      <c r="AF114" s="232">
        <f t="shared" ref="AF114:AF123" si="18">O114*$E114</f>
        <v>865200</v>
      </c>
      <c r="AG114" s="232">
        <f t="shared" ref="AG114:AG123" si="19">P114*$E114</f>
        <v>865200</v>
      </c>
      <c r="AH114" s="232">
        <f t="shared" ref="AH114:AH123" si="20">Q114*$E114</f>
        <v>865200</v>
      </c>
      <c r="AI114" s="232">
        <f t="shared" ref="AI114:AI123" si="21">R114*$E114</f>
        <v>865200</v>
      </c>
      <c r="AJ114" s="232">
        <f t="shared" ref="AJ114:AJ123" si="22">S114*$E114</f>
        <v>865200</v>
      </c>
      <c r="AK114" s="232">
        <f t="shared" ref="AK114:AK123" si="23">T114*$E114</f>
        <v>865200</v>
      </c>
      <c r="AL114" s="232">
        <f t="shared" ref="AL114:AL123" si="24">U114*$E114</f>
        <v>865200</v>
      </c>
      <c r="AM114" s="232">
        <f t="shared" ref="AM114:AM123" si="25">SUM(AA114:AL114)</f>
        <v>10382400</v>
      </c>
    </row>
    <row r="115" spans="1:42">
      <c r="A115" s="218" t="s">
        <v>258</v>
      </c>
      <c r="B115" s="218" t="s">
        <v>253</v>
      </c>
      <c r="C115" s="218" t="s">
        <v>205</v>
      </c>
      <c r="D115" s="218">
        <v>37</v>
      </c>
      <c r="E115" s="159">
        <v>6750</v>
      </c>
      <c r="F115" s="157"/>
      <c r="G115" s="157"/>
      <c r="H115" s="157"/>
      <c r="I115" s="157"/>
      <c r="J115" s="218">
        <v>37</v>
      </c>
      <c r="K115" s="218">
        <v>37</v>
      </c>
      <c r="L115" s="218">
        <v>37</v>
      </c>
      <c r="M115" s="218">
        <v>37</v>
      </c>
      <c r="N115" s="218">
        <v>37</v>
      </c>
      <c r="O115" s="218">
        <v>37</v>
      </c>
      <c r="P115" s="218">
        <v>37</v>
      </c>
      <c r="Q115" s="218">
        <v>37</v>
      </c>
      <c r="R115" s="218">
        <v>37</v>
      </c>
      <c r="S115" s="218">
        <v>37</v>
      </c>
      <c r="T115" s="218">
        <v>37</v>
      </c>
      <c r="U115" s="218">
        <v>37</v>
      </c>
      <c r="V115" s="222">
        <f t="shared" si="12"/>
        <v>249750</v>
      </c>
      <c r="Z115" s="211" t="s">
        <v>205</v>
      </c>
      <c r="AA115" s="232">
        <f t="shared" si="13"/>
        <v>249750</v>
      </c>
      <c r="AB115" s="232">
        <f t="shared" si="14"/>
        <v>249750</v>
      </c>
      <c r="AC115" s="232">
        <f t="shared" si="15"/>
        <v>249750</v>
      </c>
      <c r="AD115" s="232">
        <f t="shared" si="16"/>
        <v>249750</v>
      </c>
      <c r="AE115" s="232">
        <f t="shared" si="17"/>
        <v>249750</v>
      </c>
      <c r="AF115" s="232">
        <f t="shared" si="18"/>
        <v>249750</v>
      </c>
      <c r="AG115" s="232">
        <f t="shared" si="19"/>
        <v>249750</v>
      </c>
      <c r="AH115" s="232">
        <f t="shared" si="20"/>
        <v>249750</v>
      </c>
      <c r="AI115" s="232">
        <f t="shared" si="21"/>
        <v>249750</v>
      </c>
      <c r="AJ115" s="232">
        <f t="shared" si="22"/>
        <v>249750</v>
      </c>
      <c r="AK115" s="232">
        <f t="shared" si="23"/>
        <v>249750</v>
      </c>
      <c r="AL115" s="232">
        <f t="shared" si="24"/>
        <v>249750</v>
      </c>
      <c r="AM115" s="232">
        <f t="shared" si="25"/>
        <v>2997000</v>
      </c>
    </row>
    <row r="116" spans="1:42">
      <c r="A116" s="218" t="s">
        <v>258</v>
      </c>
      <c r="B116" s="218" t="s">
        <v>253</v>
      </c>
      <c r="C116" s="218" t="s">
        <v>259</v>
      </c>
      <c r="D116" s="218">
        <v>37</v>
      </c>
      <c r="E116" s="159">
        <v>600</v>
      </c>
      <c r="F116" s="157"/>
      <c r="G116" s="157"/>
      <c r="H116" s="157"/>
      <c r="I116" s="157"/>
      <c r="J116" s="218">
        <v>37</v>
      </c>
      <c r="K116" s="218">
        <v>37</v>
      </c>
      <c r="L116" s="218">
        <v>37</v>
      </c>
      <c r="M116" s="218">
        <v>37</v>
      </c>
      <c r="N116" s="218">
        <v>37</v>
      </c>
      <c r="O116" s="218">
        <v>37</v>
      </c>
      <c r="P116" s="218">
        <v>37</v>
      </c>
      <c r="Q116" s="218">
        <v>37</v>
      </c>
      <c r="R116" s="218">
        <v>37</v>
      </c>
      <c r="S116" s="218">
        <v>37</v>
      </c>
      <c r="T116" s="218">
        <v>37</v>
      </c>
      <c r="U116" s="218">
        <v>37</v>
      </c>
      <c r="V116" s="222">
        <f t="shared" si="12"/>
        <v>22200</v>
      </c>
      <c r="Z116" s="211" t="s">
        <v>259</v>
      </c>
      <c r="AA116" s="232">
        <f t="shared" si="13"/>
        <v>22200</v>
      </c>
      <c r="AB116" s="232">
        <f t="shared" si="14"/>
        <v>22200</v>
      </c>
      <c r="AC116" s="232">
        <f t="shared" si="15"/>
        <v>22200</v>
      </c>
      <c r="AD116" s="232">
        <f t="shared" si="16"/>
        <v>22200</v>
      </c>
      <c r="AE116" s="232">
        <f t="shared" si="17"/>
        <v>22200</v>
      </c>
      <c r="AF116" s="232">
        <f t="shared" si="18"/>
        <v>22200</v>
      </c>
      <c r="AG116" s="232">
        <f t="shared" si="19"/>
        <v>22200</v>
      </c>
      <c r="AH116" s="232">
        <f t="shared" si="20"/>
        <v>22200</v>
      </c>
      <c r="AI116" s="232">
        <f t="shared" si="21"/>
        <v>22200</v>
      </c>
      <c r="AJ116" s="232">
        <f t="shared" si="22"/>
        <v>22200</v>
      </c>
      <c r="AK116" s="232">
        <f t="shared" si="23"/>
        <v>22200</v>
      </c>
      <c r="AL116" s="232">
        <f t="shared" si="24"/>
        <v>22200</v>
      </c>
      <c r="AM116" s="232">
        <f t="shared" si="25"/>
        <v>266400</v>
      </c>
    </row>
    <row r="117" spans="1:42">
      <c r="A117" s="218" t="s">
        <v>258</v>
      </c>
      <c r="B117" s="218" t="s">
        <v>253</v>
      </c>
      <c r="C117" s="218" t="s">
        <v>260</v>
      </c>
      <c r="D117" s="218">
        <v>37</v>
      </c>
      <c r="E117" s="159">
        <v>590</v>
      </c>
      <c r="F117" s="157"/>
      <c r="G117" s="157"/>
      <c r="H117" s="157"/>
      <c r="I117" s="157"/>
      <c r="J117" s="218">
        <v>37</v>
      </c>
      <c r="K117" s="218">
        <v>37</v>
      </c>
      <c r="L117" s="218">
        <v>37</v>
      </c>
      <c r="M117" s="218">
        <v>37</v>
      </c>
      <c r="N117" s="218">
        <v>37</v>
      </c>
      <c r="O117" s="218">
        <v>37</v>
      </c>
      <c r="P117" s="218">
        <v>37</v>
      </c>
      <c r="Q117" s="218">
        <v>37</v>
      </c>
      <c r="R117" s="218">
        <v>37</v>
      </c>
      <c r="S117" s="218">
        <v>37</v>
      </c>
      <c r="T117" s="218">
        <v>37</v>
      </c>
      <c r="U117" s="218">
        <v>37</v>
      </c>
      <c r="V117" s="222">
        <f t="shared" si="12"/>
        <v>21830</v>
      </c>
      <c r="Z117" s="211" t="s">
        <v>260</v>
      </c>
      <c r="AA117" s="232">
        <f t="shared" si="13"/>
        <v>21830</v>
      </c>
      <c r="AB117" s="232">
        <f t="shared" si="14"/>
        <v>21830</v>
      </c>
      <c r="AC117" s="232">
        <f t="shared" si="15"/>
        <v>21830</v>
      </c>
      <c r="AD117" s="232">
        <f t="shared" si="16"/>
        <v>21830</v>
      </c>
      <c r="AE117" s="232">
        <f t="shared" si="17"/>
        <v>21830</v>
      </c>
      <c r="AF117" s="232">
        <f t="shared" si="18"/>
        <v>21830</v>
      </c>
      <c r="AG117" s="232">
        <f t="shared" si="19"/>
        <v>21830</v>
      </c>
      <c r="AH117" s="232">
        <f t="shared" si="20"/>
        <v>21830</v>
      </c>
      <c r="AI117" s="232">
        <f t="shared" si="21"/>
        <v>21830</v>
      </c>
      <c r="AJ117" s="232">
        <f t="shared" si="22"/>
        <v>21830</v>
      </c>
      <c r="AK117" s="232">
        <f t="shared" si="23"/>
        <v>21830</v>
      </c>
      <c r="AL117" s="232">
        <f t="shared" si="24"/>
        <v>21830</v>
      </c>
      <c r="AM117" s="232">
        <f t="shared" si="25"/>
        <v>261960</v>
      </c>
    </row>
    <row r="118" spans="1:42">
      <c r="A118" s="218" t="s">
        <v>258</v>
      </c>
      <c r="B118" s="218" t="s">
        <v>253</v>
      </c>
      <c r="C118" s="218" t="s">
        <v>261</v>
      </c>
      <c r="D118" s="218">
        <v>2</v>
      </c>
      <c r="E118" s="159">
        <v>5270</v>
      </c>
      <c r="F118" s="157"/>
      <c r="G118" s="157"/>
      <c r="H118" s="157"/>
      <c r="I118" s="157"/>
      <c r="J118" s="218">
        <v>2</v>
      </c>
      <c r="K118" s="218">
        <v>2</v>
      </c>
      <c r="L118" s="218">
        <v>2</v>
      </c>
      <c r="M118" s="218">
        <v>2</v>
      </c>
      <c r="N118" s="218">
        <v>2</v>
      </c>
      <c r="O118" s="218">
        <v>2</v>
      </c>
      <c r="P118" s="218">
        <v>2</v>
      </c>
      <c r="Q118" s="218">
        <v>2</v>
      </c>
      <c r="R118" s="218">
        <v>2</v>
      </c>
      <c r="S118" s="218">
        <v>2</v>
      </c>
      <c r="T118" s="218">
        <v>2</v>
      </c>
      <c r="U118" s="218">
        <v>2</v>
      </c>
      <c r="V118" s="222">
        <f t="shared" si="12"/>
        <v>10540</v>
      </c>
      <c r="Z118" s="211" t="s">
        <v>261</v>
      </c>
      <c r="AA118" s="232">
        <f t="shared" si="13"/>
        <v>10540</v>
      </c>
      <c r="AB118" s="232">
        <f t="shared" si="14"/>
        <v>10540</v>
      </c>
      <c r="AC118" s="232">
        <f t="shared" si="15"/>
        <v>10540</v>
      </c>
      <c r="AD118" s="232">
        <f t="shared" si="16"/>
        <v>10540</v>
      </c>
      <c r="AE118" s="232">
        <f t="shared" si="17"/>
        <v>10540</v>
      </c>
      <c r="AF118" s="232">
        <f t="shared" si="18"/>
        <v>10540</v>
      </c>
      <c r="AG118" s="232">
        <f t="shared" si="19"/>
        <v>10540</v>
      </c>
      <c r="AH118" s="232">
        <f t="shared" si="20"/>
        <v>10540</v>
      </c>
      <c r="AI118" s="232">
        <f t="shared" si="21"/>
        <v>10540</v>
      </c>
      <c r="AJ118" s="232">
        <f t="shared" si="22"/>
        <v>10540</v>
      </c>
      <c r="AK118" s="232">
        <f t="shared" si="23"/>
        <v>10540</v>
      </c>
      <c r="AL118" s="232">
        <f t="shared" si="24"/>
        <v>10540</v>
      </c>
      <c r="AM118" s="232">
        <f t="shared" si="25"/>
        <v>126480</v>
      </c>
    </row>
    <row r="119" spans="1:42">
      <c r="A119" s="218" t="s">
        <v>258</v>
      </c>
      <c r="B119" s="218" t="s">
        <v>253</v>
      </c>
      <c r="C119" s="218" t="s">
        <v>262</v>
      </c>
      <c r="D119" s="218">
        <v>3</v>
      </c>
      <c r="E119" s="159">
        <v>3690</v>
      </c>
      <c r="F119" s="157"/>
      <c r="G119" s="157"/>
      <c r="H119" s="157"/>
      <c r="I119" s="157"/>
      <c r="J119" s="218">
        <v>3</v>
      </c>
      <c r="K119" s="218">
        <v>3</v>
      </c>
      <c r="L119" s="218">
        <v>3</v>
      </c>
      <c r="M119" s="218">
        <v>3</v>
      </c>
      <c r="N119" s="218">
        <v>3</v>
      </c>
      <c r="O119" s="218">
        <v>3</v>
      </c>
      <c r="P119" s="218">
        <v>3</v>
      </c>
      <c r="Q119" s="218">
        <v>3</v>
      </c>
      <c r="R119" s="218">
        <v>3</v>
      </c>
      <c r="S119" s="218">
        <v>3</v>
      </c>
      <c r="T119" s="218">
        <v>3</v>
      </c>
      <c r="U119" s="218">
        <v>3</v>
      </c>
      <c r="V119" s="222">
        <f t="shared" si="12"/>
        <v>11070</v>
      </c>
      <c r="Z119" s="211" t="s">
        <v>262</v>
      </c>
      <c r="AA119" s="232">
        <f t="shared" si="13"/>
        <v>11070</v>
      </c>
      <c r="AB119" s="232">
        <f t="shared" si="14"/>
        <v>11070</v>
      </c>
      <c r="AC119" s="232">
        <f t="shared" si="15"/>
        <v>11070</v>
      </c>
      <c r="AD119" s="232">
        <f t="shared" si="16"/>
        <v>11070</v>
      </c>
      <c r="AE119" s="232">
        <f t="shared" si="17"/>
        <v>11070</v>
      </c>
      <c r="AF119" s="232">
        <f t="shared" si="18"/>
        <v>11070</v>
      </c>
      <c r="AG119" s="232">
        <f t="shared" si="19"/>
        <v>11070</v>
      </c>
      <c r="AH119" s="232">
        <f t="shared" si="20"/>
        <v>11070</v>
      </c>
      <c r="AI119" s="232">
        <f t="shared" si="21"/>
        <v>11070</v>
      </c>
      <c r="AJ119" s="232">
        <f t="shared" si="22"/>
        <v>11070</v>
      </c>
      <c r="AK119" s="232">
        <f t="shared" si="23"/>
        <v>11070</v>
      </c>
      <c r="AL119" s="232">
        <f t="shared" si="24"/>
        <v>11070</v>
      </c>
      <c r="AM119" s="232">
        <f t="shared" si="25"/>
        <v>132840</v>
      </c>
    </row>
    <row r="120" spans="1:42">
      <c r="A120" s="218" t="s">
        <v>258</v>
      </c>
      <c r="B120" s="218" t="s">
        <v>79</v>
      </c>
      <c r="C120" s="218" t="s">
        <v>263</v>
      </c>
      <c r="D120" s="218">
        <v>190</v>
      </c>
      <c r="E120" s="159">
        <v>3850</v>
      </c>
      <c r="F120" s="157"/>
      <c r="G120" s="157"/>
      <c r="H120" s="157"/>
      <c r="I120" s="157"/>
      <c r="J120" s="218">
        <v>190</v>
      </c>
      <c r="K120" s="218">
        <v>190</v>
      </c>
      <c r="L120" s="218">
        <v>190</v>
      </c>
      <c r="M120" s="218">
        <v>190</v>
      </c>
      <c r="N120" s="218">
        <v>190</v>
      </c>
      <c r="O120" s="218">
        <v>190</v>
      </c>
      <c r="P120" s="218">
        <v>190</v>
      </c>
      <c r="Q120" s="218">
        <v>190</v>
      </c>
      <c r="R120" s="218">
        <v>190</v>
      </c>
      <c r="S120" s="218">
        <v>190</v>
      </c>
      <c r="T120" s="218">
        <v>190</v>
      </c>
      <c r="U120" s="218">
        <v>190</v>
      </c>
      <c r="V120" s="222">
        <f t="shared" si="12"/>
        <v>731500</v>
      </c>
      <c r="Z120" s="211" t="s">
        <v>263</v>
      </c>
      <c r="AA120" s="232">
        <f t="shared" si="13"/>
        <v>731500</v>
      </c>
      <c r="AB120" s="232">
        <f t="shared" si="14"/>
        <v>731500</v>
      </c>
      <c r="AC120" s="232">
        <f t="shared" si="15"/>
        <v>731500</v>
      </c>
      <c r="AD120" s="232">
        <f t="shared" si="16"/>
        <v>731500</v>
      </c>
      <c r="AE120" s="232">
        <f t="shared" si="17"/>
        <v>731500</v>
      </c>
      <c r="AF120" s="232">
        <f t="shared" si="18"/>
        <v>731500</v>
      </c>
      <c r="AG120" s="232">
        <f t="shared" si="19"/>
        <v>731500</v>
      </c>
      <c r="AH120" s="232">
        <f t="shared" si="20"/>
        <v>731500</v>
      </c>
      <c r="AI120" s="232">
        <f t="shared" si="21"/>
        <v>731500</v>
      </c>
      <c r="AJ120" s="232">
        <f t="shared" si="22"/>
        <v>731500</v>
      </c>
      <c r="AK120" s="232">
        <f t="shared" si="23"/>
        <v>731500</v>
      </c>
      <c r="AL120" s="232">
        <f t="shared" si="24"/>
        <v>731500</v>
      </c>
      <c r="AM120" s="232">
        <f t="shared" si="25"/>
        <v>8778000</v>
      </c>
    </row>
    <row r="121" spans="1:42">
      <c r="A121" s="218" t="s">
        <v>258</v>
      </c>
      <c r="B121" s="218" t="s">
        <v>79</v>
      </c>
      <c r="C121" s="218" t="s">
        <v>264</v>
      </c>
      <c r="D121" s="211">
        <v>70</v>
      </c>
      <c r="E121" s="159">
        <v>4010</v>
      </c>
      <c r="J121" s="218">
        <v>70</v>
      </c>
      <c r="K121" s="218">
        <v>70</v>
      </c>
      <c r="L121" s="218">
        <v>70</v>
      </c>
      <c r="M121" s="218">
        <v>70</v>
      </c>
      <c r="N121" s="218">
        <v>70</v>
      </c>
      <c r="O121" s="218">
        <v>70</v>
      </c>
      <c r="P121" s="218">
        <v>70</v>
      </c>
      <c r="Q121" s="218">
        <v>70</v>
      </c>
      <c r="R121" s="218">
        <v>70</v>
      </c>
      <c r="S121" s="218">
        <v>70</v>
      </c>
      <c r="T121" s="218">
        <v>70</v>
      </c>
      <c r="U121" s="218">
        <v>70</v>
      </c>
      <c r="V121" s="222">
        <f t="shared" si="12"/>
        <v>280700</v>
      </c>
      <c r="Z121" s="211" t="s">
        <v>264</v>
      </c>
      <c r="AA121" s="232">
        <f t="shared" si="13"/>
        <v>280700</v>
      </c>
      <c r="AB121" s="232">
        <f t="shared" si="14"/>
        <v>280700</v>
      </c>
      <c r="AC121" s="232">
        <f t="shared" si="15"/>
        <v>280700</v>
      </c>
      <c r="AD121" s="232">
        <f t="shared" si="16"/>
        <v>280700</v>
      </c>
      <c r="AE121" s="232">
        <f t="shared" si="17"/>
        <v>280700</v>
      </c>
      <c r="AF121" s="232">
        <f t="shared" si="18"/>
        <v>280700</v>
      </c>
      <c r="AG121" s="232">
        <f t="shared" si="19"/>
        <v>280700</v>
      </c>
      <c r="AH121" s="232">
        <f t="shared" si="20"/>
        <v>280700</v>
      </c>
      <c r="AI121" s="232">
        <f t="shared" si="21"/>
        <v>280700</v>
      </c>
      <c r="AJ121" s="232">
        <f t="shared" si="22"/>
        <v>280700</v>
      </c>
      <c r="AK121" s="232">
        <f t="shared" si="23"/>
        <v>280700</v>
      </c>
      <c r="AL121" s="232">
        <f t="shared" si="24"/>
        <v>280700</v>
      </c>
      <c r="AM121" s="232">
        <f t="shared" si="25"/>
        <v>3368400</v>
      </c>
    </row>
    <row r="122" spans="1:42" ht="18.600000000000001" thickBot="1">
      <c r="A122" s="212" t="s">
        <v>258</v>
      </c>
      <c r="B122" s="212" t="s">
        <v>265</v>
      </c>
      <c r="C122" s="212" t="s">
        <v>266</v>
      </c>
      <c r="D122" s="213">
        <v>80</v>
      </c>
      <c r="E122" s="214">
        <v>4130</v>
      </c>
      <c r="F122" s="212"/>
      <c r="G122" s="212"/>
      <c r="H122" s="212"/>
      <c r="I122" s="212"/>
      <c r="J122" s="212">
        <v>80</v>
      </c>
      <c r="K122" s="212">
        <v>80</v>
      </c>
      <c r="L122" s="212">
        <v>80</v>
      </c>
      <c r="M122" s="212">
        <v>80</v>
      </c>
      <c r="N122" s="212">
        <v>80</v>
      </c>
      <c r="O122" s="212">
        <v>80</v>
      </c>
      <c r="P122" s="212">
        <v>80</v>
      </c>
      <c r="Q122" s="212">
        <v>80</v>
      </c>
      <c r="R122" s="212">
        <v>80</v>
      </c>
      <c r="S122" s="212">
        <v>80</v>
      </c>
      <c r="T122" s="212">
        <v>80</v>
      </c>
      <c r="U122" s="212">
        <v>80</v>
      </c>
      <c r="V122" s="223">
        <f t="shared" si="12"/>
        <v>330400</v>
      </c>
      <c r="W122" s="212"/>
      <c r="Z122" s="213" t="s">
        <v>266</v>
      </c>
      <c r="AA122" s="232">
        <f t="shared" si="13"/>
        <v>330400</v>
      </c>
      <c r="AB122" s="232">
        <f t="shared" si="14"/>
        <v>330400</v>
      </c>
      <c r="AC122" s="232">
        <f t="shared" si="15"/>
        <v>330400</v>
      </c>
      <c r="AD122" s="232">
        <f t="shared" si="16"/>
        <v>330400</v>
      </c>
      <c r="AE122" s="232">
        <f t="shared" si="17"/>
        <v>330400</v>
      </c>
      <c r="AF122" s="232">
        <f t="shared" si="18"/>
        <v>330400</v>
      </c>
      <c r="AG122" s="232">
        <f t="shared" si="19"/>
        <v>330400</v>
      </c>
      <c r="AH122" s="232">
        <f t="shared" si="20"/>
        <v>330400</v>
      </c>
      <c r="AI122" s="232">
        <f t="shared" si="21"/>
        <v>330400</v>
      </c>
      <c r="AJ122" s="232">
        <f t="shared" si="22"/>
        <v>330400</v>
      </c>
      <c r="AK122" s="232">
        <f t="shared" si="23"/>
        <v>330400</v>
      </c>
      <c r="AL122" s="232">
        <f t="shared" si="24"/>
        <v>330400</v>
      </c>
      <c r="AM122" s="232">
        <f t="shared" si="25"/>
        <v>3964800</v>
      </c>
    </row>
    <row r="123" spans="1:42" ht="18.600000000000001" thickTop="1">
      <c r="A123" s="218" t="s">
        <v>267</v>
      </c>
      <c r="D123" s="215">
        <f>SUM(F123:I123)</f>
        <v>395</v>
      </c>
      <c r="E123" s="191">
        <v>2630</v>
      </c>
      <c r="F123" s="157">
        <v>235</v>
      </c>
      <c r="G123" s="218">
        <v>100</v>
      </c>
      <c r="H123" s="218">
        <v>10</v>
      </c>
      <c r="I123" s="218">
        <v>50</v>
      </c>
      <c r="J123" s="218">
        <v>0</v>
      </c>
      <c r="K123" s="218">
        <v>100</v>
      </c>
      <c r="L123" s="218">
        <v>150</v>
      </c>
      <c r="M123" s="218">
        <v>190</v>
      </c>
      <c r="N123" s="218">
        <v>230</v>
      </c>
      <c r="O123" s="218">
        <v>270</v>
      </c>
      <c r="P123" s="218">
        <v>310</v>
      </c>
      <c r="Q123" s="218">
        <v>350</v>
      </c>
      <c r="R123" s="218">
        <v>380</v>
      </c>
      <c r="S123" s="218">
        <v>395</v>
      </c>
      <c r="T123" s="218">
        <v>395</v>
      </c>
      <c r="U123" s="218">
        <v>395</v>
      </c>
      <c r="V123" s="222">
        <f t="shared" si="12"/>
        <v>1038850</v>
      </c>
      <c r="Z123" s="5"/>
      <c r="AA123" s="232">
        <f t="shared" si="13"/>
        <v>0</v>
      </c>
      <c r="AB123" s="232">
        <f t="shared" si="14"/>
        <v>263000</v>
      </c>
      <c r="AC123" s="232">
        <f t="shared" si="15"/>
        <v>394500</v>
      </c>
      <c r="AD123" s="232">
        <f t="shared" si="16"/>
        <v>499700</v>
      </c>
      <c r="AE123" s="232">
        <f t="shared" si="17"/>
        <v>604900</v>
      </c>
      <c r="AF123" s="232">
        <f t="shared" si="18"/>
        <v>710100</v>
      </c>
      <c r="AG123" s="232">
        <f t="shared" si="19"/>
        <v>815300</v>
      </c>
      <c r="AH123" s="232">
        <f t="shared" si="20"/>
        <v>920500</v>
      </c>
      <c r="AI123" s="232">
        <f t="shared" si="21"/>
        <v>999400</v>
      </c>
      <c r="AJ123" s="232">
        <f t="shared" si="22"/>
        <v>1038850</v>
      </c>
      <c r="AK123" s="232">
        <f t="shared" si="23"/>
        <v>1038850</v>
      </c>
      <c r="AL123" s="232">
        <f t="shared" si="24"/>
        <v>1038850</v>
      </c>
      <c r="AM123" s="232">
        <f t="shared" si="25"/>
        <v>8323950</v>
      </c>
    </row>
    <row r="124" spans="1:42">
      <c r="B124" s="218">
        <f>37+37</f>
        <v>74</v>
      </c>
      <c r="C124" s="218">
        <f>695-74</f>
        <v>621</v>
      </c>
      <c r="Q124" s="218" t="s">
        <v>288</v>
      </c>
      <c r="R124" s="218">
        <v>4435490</v>
      </c>
      <c r="U124" s="218" t="s">
        <v>270</v>
      </c>
      <c r="V124" s="2">
        <f>SUM(V112:V123)</f>
        <v>3616640</v>
      </c>
      <c r="W124" s="2">
        <f>V124*12</f>
        <v>43399680</v>
      </c>
      <c r="Z124" s="5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>
        <f>SUM(AM114:AM123)</f>
        <v>38602230</v>
      </c>
    </row>
    <row r="125" spans="1:42">
      <c r="L125" s="218" t="s">
        <v>289</v>
      </c>
      <c r="M125" s="215">
        <f>SUM(V112:V122)</f>
        <v>2577790</v>
      </c>
      <c r="U125" s="218" t="s">
        <v>156</v>
      </c>
      <c r="V125" s="218">
        <f>V124*12</f>
        <v>43399680</v>
      </c>
      <c r="Z125" s="5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>
        <v>40220000</v>
      </c>
    </row>
    <row r="126" spans="1:42" ht="18.600000000000001" thickBot="1">
      <c r="U126" s="227" t="s">
        <v>290</v>
      </c>
      <c r="V126" s="228">
        <v>4600000</v>
      </c>
      <c r="AA126" s="2">
        <f t="shared" ref="AA126:AL126" si="26">SUM(AA114:AA125)</f>
        <v>2523190</v>
      </c>
      <c r="AB126" s="2">
        <f t="shared" si="26"/>
        <v>2786190</v>
      </c>
      <c r="AC126" s="2">
        <f t="shared" si="26"/>
        <v>2917690</v>
      </c>
      <c r="AD126" s="2">
        <f t="shared" si="26"/>
        <v>3022890</v>
      </c>
      <c r="AE126" s="2">
        <f t="shared" si="26"/>
        <v>3128090</v>
      </c>
      <c r="AF126" s="2">
        <f t="shared" si="26"/>
        <v>3233290</v>
      </c>
      <c r="AG126" s="2">
        <f t="shared" si="26"/>
        <v>3338490</v>
      </c>
      <c r="AH126" s="2">
        <f t="shared" si="26"/>
        <v>3443690</v>
      </c>
      <c r="AI126" s="2">
        <f t="shared" si="26"/>
        <v>3522590</v>
      </c>
      <c r="AJ126" s="2">
        <f t="shared" si="26"/>
        <v>3562040</v>
      </c>
      <c r="AK126" s="2">
        <f t="shared" si="26"/>
        <v>3562040</v>
      </c>
      <c r="AL126" s="2">
        <f t="shared" si="26"/>
        <v>3562040</v>
      </c>
      <c r="AM126" s="2">
        <v>40300000</v>
      </c>
    </row>
    <row r="127" spans="1:42" ht="85.5">
      <c r="J127" s="234">
        <f t="shared" ref="J127:U127" si="27">$M125+J123*$E123</f>
        <v>2577790</v>
      </c>
      <c r="K127" s="234">
        <f t="shared" si="27"/>
        <v>2840790</v>
      </c>
      <c r="L127" s="234">
        <f t="shared" si="27"/>
        <v>2972290</v>
      </c>
      <c r="M127" s="234">
        <f t="shared" si="27"/>
        <v>3077490</v>
      </c>
      <c r="N127" s="234">
        <f t="shared" si="27"/>
        <v>3182690</v>
      </c>
      <c r="O127" s="234">
        <f t="shared" si="27"/>
        <v>3287890</v>
      </c>
      <c r="P127" s="234">
        <f t="shared" si="27"/>
        <v>3393090</v>
      </c>
      <c r="Q127" s="234">
        <f t="shared" si="27"/>
        <v>3498290</v>
      </c>
      <c r="R127" s="234">
        <f t="shared" si="27"/>
        <v>3577190</v>
      </c>
      <c r="S127" s="234">
        <f t="shared" si="27"/>
        <v>3616640</v>
      </c>
      <c r="T127" s="234">
        <f t="shared" si="27"/>
        <v>3616640</v>
      </c>
      <c r="U127" s="234">
        <f t="shared" si="27"/>
        <v>3616640</v>
      </c>
      <c r="V127" s="218">
        <f>SUM(J127:U127)</f>
        <v>39257430</v>
      </c>
      <c r="AA127" s="2">
        <v>2666000</v>
      </c>
      <c r="AB127" s="2">
        <v>2930000</v>
      </c>
      <c r="AC127" s="2">
        <v>3054000</v>
      </c>
      <c r="AD127" s="2">
        <v>3160000</v>
      </c>
      <c r="AE127" s="2">
        <v>3270000</v>
      </c>
      <c r="AF127" s="2">
        <v>3370000</v>
      </c>
      <c r="AG127" s="2">
        <v>3480000</v>
      </c>
      <c r="AH127" s="2">
        <v>3580000</v>
      </c>
      <c r="AI127" s="2">
        <v>3660000</v>
      </c>
      <c r="AJ127" s="2">
        <v>3700000</v>
      </c>
      <c r="AK127" s="2">
        <v>3700000</v>
      </c>
      <c r="AL127" s="2">
        <v>3700000</v>
      </c>
      <c r="AM127" s="215">
        <f>SUM(AA126:AL126)</f>
        <v>38602230</v>
      </c>
      <c r="AO127" s="203">
        <v>48600000</v>
      </c>
      <c r="AP127" s="218">
        <f>SUM(AO129)</f>
        <v>48600000</v>
      </c>
    </row>
    <row r="128" spans="1:42">
      <c r="J128" s="215">
        <f t="shared" ref="J128:U128" si="28">$M125+J123</f>
        <v>2577790</v>
      </c>
      <c r="K128" s="215">
        <f t="shared" si="28"/>
        <v>2577890</v>
      </c>
      <c r="L128" s="215">
        <f t="shared" si="28"/>
        <v>2577940</v>
      </c>
      <c r="M128" s="215">
        <f t="shared" si="28"/>
        <v>2577980</v>
      </c>
      <c r="N128" s="215">
        <f t="shared" si="28"/>
        <v>2578020</v>
      </c>
      <c r="O128" s="215">
        <f t="shared" si="28"/>
        <v>2578060</v>
      </c>
      <c r="P128" s="215">
        <f t="shared" si="28"/>
        <v>2578100</v>
      </c>
      <c r="Q128" s="215">
        <f t="shared" si="28"/>
        <v>2578140</v>
      </c>
      <c r="R128" s="215">
        <f t="shared" si="28"/>
        <v>2578170</v>
      </c>
      <c r="S128" s="215">
        <f t="shared" si="28"/>
        <v>2578185</v>
      </c>
      <c r="T128" s="215">
        <f t="shared" si="28"/>
        <v>2578185</v>
      </c>
      <c r="U128" s="215">
        <f t="shared" si="28"/>
        <v>2578185</v>
      </c>
      <c r="AA128" s="2">
        <f t="shared" ref="AA128:AL128" si="29">SUM(AA114:AA122)</f>
        <v>2523190</v>
      </c>
      <c r="AB128" s="2">
        <f t="shared" si="29"/>
        <v>2523190</v>
      </c>
      <c r="AC128" s="2">
        <f t="shared" si="29"/>
        <v>2523190</v>
      </c>
      <c r="AD128" s="2">
        <f t="shared" si="29"/>
        <v>2523190</v>
      </c>
      <c r="AE128" s="2">
        <f t="shared" si="29"/>
        <v>2523190</v>
      </c>
      <c r="AF128" s="2">
        <f t="shared" si="29"/>
        <v>2523190</v>
      </c>
      <c r="AG128" s="2">
        <f t="shared" si="29"/>
        <v>2523190</v>
      </c>
      <c r="AH128" s="2">
        <f t="shared" si="29"/>
        <v>2523190</v>
      </c>
      <c r="AI128" s="2">
        <f t="shared" si="29"/>
        <v>2523190</v>
      </c>
      <c r="AJ128" s="2">
        <f t="shared" si="29"/>
        <v>2523190</v>
      </c>
      <c r="AK128" s="2">
        <f t="shared" si="29"/>
        <v>2523190</v>
      </c>
      <c r="AL128" s="2">
        <f t="shared" si="29"/>
        <v>2523190</v>
      </c>
    </row>
    <row r="129" spans="4:42">
      <c r="J129" s="218">
        <f t="shared" ref="J129:U129" si="30">J123*$E123</f>
        <v>0</v>
      </c>
      <c r="K129" s="218">
        <f t="shared" si="30"/>
        <v>263000</v>
      </c>
      <c r="L129" s="218">
        <f t="shared" si="30"/>
        <v>394500</v>
      </c>
      <c r="M129" s="218">
        <f t="shared" si="30"/>
        <v>499700</v>
      </c>
      <c r="N129" s="218">
        <f t="shared" si="30"/>
        <v>604900</v>
      </c>
      <c r="O129" s="218">
        <f t="shared" si="30"/>
        <v>710100</v>
      </c>
      <c r="P129" s="218">
        <f t="shared" si="30"/>
        <v>815300</v>
      </c>
      <c r="Q129" s="218">
        <f t="shared" si="30"/>
        <v>920500</v>
      </c>
      <c r="R129" s="218">
        <f t="shared" si="30"/>
        <v>999400</v>
      </c>
      <c r="S129" s="218">
        <f t="shared" si="30"/>
        <v>1038850</v>
      </c>
      <c r="T129" s="218">
        <f t="shared" si="30"/>
        <v>1038850</v>
      </c>
      <c r="U129" s="218">
        <f t="shared" si="30"/>
        <v>1038850</v>
      </c>
      <c r="AO129" s="215">
        <f>SUM(AO127:AO128)</f>
        <v>48600000</v>
      </c>
      <c r="AP129" s="218">
        <f>SUM(AQ129:AR130)</f>
        <v>0</v>
      </c>
    </row>
    <row r="130" spans="4:42">
      <c r="J130" s="215">
        <f t="shared" ref="J130:U130" si="31">SUM(J128:J129)</f>
        <v>2577790</v>
      </c>
      <c r="K130" s="215">
        <f t="shared" si="31"/>
        <v>2840890</v>
      </c>
      <c r="L130" s="215">
        <f t="shared" si="31"/>
        <v>2972440</v>
      </c>
      <c r="M130" s="215">
        <f t="shared" si="31"/>
        <v>3077680</v>
      </c>
      <c r="N130" s="215">
        <f t="shared" si="31"/>
        <v>3182920</v>
      </c>
      <c r="O130" s="215">
        <f t="shared" si="31"/>
        <v>3288160</v>
      </c>
      <c r="P130" s="215">
        <f t="shared" si="31"/>
        <v>3393400</v>
      </c>
      <c r="Q130" s="215">
        <f t="shared" si="31"/>
        <v>3498640</v>
      </c>
      <c r="R130" s="215">
        <f t="shared" si="31"/>
        <v>3577570</v>
      </c>
      <c r="S130" s="215">
        <f t="shared" si="31"/>
        <v>3617035</v>
      </c>
      <c r="T130" s="215">
        <f t="shared" si="31"/>
        <v>3617035</v>
      </c>
      <c r="U130" s="215">
        <f t="shared" si="31"/>
        <v>3617035</v>
      </c>
      <c r="V130" s="215">
        <f>SUM(J130:U130)</f>
        <v>39260595</v>
      </c>
    </row>
    <row r="132" spans="4:42">
      <c r="R132" s="218">
        <f>SUM(J123:R123)</f>
        <v>1980</v>
      </c>
      <c r="T132" s="218">
        <f>SUM(J123:U123)</f>
        <v>3165</v>
      </c>
      <c r="AA132" s="2" t="s">
        <v>249</v>
      </c>
      <c r="AB132" s="2" t="s">
        <v>250</v>
      </c>
      <c r="AC132" s="2" t="s">
        <v>129</v>
      </c>
      <c r="AD132" s="2" t="s">
        <v>130</v>
      </c>
      <c r="AE132" s="2" t="s">
        <v>131</v>
      </c>
      <c r="AF132" s="2" t="s">
        <v>132</v>
      </c>
      <c r="AG132" s="2" t="s">
        <v>133</v>
      </c>
      <c r="AH132" s="2" t="s">
        <v>134</v>
      </c>
      <c r="AI132" s="2" t="s">
        <v>135</v>
      </c>
      <c r="AJ132" s="2" t="s">
        <v>136</v>
      </c>
      <c r="AK132" s="2" t="s">
        <v>137</v>
      </c>
      <c r="AL132" s="218" t="s">
        <v>138</v>
      </c>
      <c r="AM132" s="218" t="s">
        <v>156</v>
      </c>
    </row>
    <row r="133" spans="4:42">
      <c r="R133" s="218">
        <f>R132/9</f>
        <v>220</v>
      </c>
      <c r="T133" s="218">
        <f>T132/12</f>
        <v>263.75</v>
      </c>
      <c r="Z133" s="2" t="s">
        <v>291</v>
      </c>
    </row>
    <row r="134" spans="4:42">
      <c r="T134" s="218">
        <f>T133*2630</f>
        <v>693662.5</v>
      </c>
      <c r="Z134" s="2" t="s">
        <v>292</v>
      </c>
    </row>
    <row r="135" spans="4:42" ht="18.600000000000001" thickBot="1">
      <c r="Z135" s="2" t="s">
        <v>293</v>
      </c>
      <c r="AA135" s="2">
        <v>919800</v>
      </c>
      <c r="AB135" s="2">
        <v>919800</v>
      </c>
      <c r="AC135" s="2">
        <v>919800</v>
      </c>
      <c r="AD135" s="2">
        <v>919800</v>
      </c>
      <c r="AE135" s="2">
        <v>919800</v>
      </c>
      <c r="AF135" s="2">
        <v>919800</v>
      </c>
      <c r="AG135" s="2">
        <v>919800</v>
      </c>
      <c r="AH135" s="2">
        <v>919800</v>
      </c>
      <c r="AI135" s="2">
        <v>919800</v>
      </c>
      <c r="AJ135" s="2">
        <v>919800</v>
      </c>
      <c r="AK135" s="2">
        <v>919800</v>
      </c>
      <c r="AL135" s="218">
        <v>919800</v>
      </c>
      <c r="AM135" s="218">
        <v>11037600</v>
      </c>
    </row>
    <row r="136" spans="4:42" ht="18.600000000000001" thickTop="1">
      <c r="D136" s="209"/>
      <c r="E136" s="209"/>
      <c r="F136" s="210"/>
      <c r="Z136" s="2" t="s">
        <v>205</v>
      </c>
      <c r="AA136" s="2">
        <v>249750</v>
      </c>
      <c r="AB136" s="2">
        <v>249750</v>
      </c>
      <c r="AC136" s="2">
        <v>249750</v>
      </c>
      <c r="AD136" s="2">
        <v>249750</v>
      </c>
      <c r="AE136" s="2">
        <v>249750</v>
      </c>
      <c r="AF136" s="2">
        <v>249750</v>
      </c>
      <c r="AG136" s="2">
        <v>249750</v>
      </c>
      <c r="AH136" s="2">
        <v>249750</v>
      </c>
      <c r="AI136" s="2">
        <v>249750</v>
      </c>
      <c r="AJ136" s="2">
        <v>249750</v>
      </c>
      <c r="AK136" s="2">
        <v>249750</v>
      </c>
      <c r="AL136" s="218">
        <v>249750</v>
      </c>
      <c r="AM136" s="218">
        <v>2997000</v>
      </c>
    </row>
    <row r="137" spans="4:42">
      <c r="F137" s="159"/>
      <c r="Z137" s="2" t="s">
        <v>259</v>
      </c>
      <c r="AA137" s="2">
        <v>22200</v>
      </c>
      <c r="AB137" s="2">
        <v>22200</v>
      </c>
      <c r="AC137" s="2">
        <v>22200</v>
      </c>
      <c r="AD137" s="2">
        <v>22200</v>
      </c>
      <c r="AE137" s="2">
        <v>22200</v>
      </c>
      <c r="AF137" s="2">
        <v>22200</v>
      </c>
      <c r="AG137" s="2">
        <v>22200</v>
      </c>
      <c r="AH137" s="2">
        <v>22200</v>
      </c>
      <c r="AI137" s="2">
        <v>22200</v>
      </c>
      <c r="AJ137" s="2">
        <v>22200</v>
      </c>
      <c r="AK137" s="2">
        <v>22200</v>
      </c>
      <c r="AL137" s="218">
        <v>22200</v>
      </c>
      <c r="AM137" s="218">
        <v>266400</v>
      </c>
    </row>
    <row r="138" spans="4:42">
      <c r="D138" s="218" t="s">
        <v>257</v>
      </c>
      <c r="E138" s="218">
        <v>219</v>
      </c>
      <c r="F138" s="159">
        <v>4200</v>
      </c>
      <c r="G138" s="218">
        <f t="shared" ref="G138:G144" si="32">F138*E138</f>
        <v>919800</v>
      </c>
      <c r="Z138" s="2" t="s">
        <v>260</v>
      </c>
      <c r="AA138" s="2">
        <v>21830</v>
      </c>
      <c r="AB138" s="2">
        <v>21830</v>
      </c>
      <c r="AC138" s="2">
        <v>21830</v>
      </c>
      <c r="AD138" s="2">
        <v>21830</v>
      </c>
      <c r="AE138" s="2">
        <v>21830</v>
      </c>
      <c r="AF138" s="2">
        <v>21830</v>
      </c>
      <c r="AG138" s="2">
        <v>21830</v>
      </c>
      <c r="AH138" s="2">
        <v>21830</v>
      </c>
      <c r="AI138" s="2">
        <v>21830</v>
      </c>
      <c r="AJ138" s="2">
        <v>21830</v>
      </c>
      <c r="AK138" s="2">
        <v>21830</v>
      </c>
      <c r="AL138" s="218">
        <v>21830</v>
      </c>
      <c r="AM138" s="218">
        <v>261960</v>
      </c>
    </row>
    <row r="139" spans="4:42">
      <c r="D139" s="218" t="s">
        <v>205</v>
      </c>
      <c r="E139" s="218">
        <v>37</v>
      </c>
      <c r="F139" s="159">
        <v>6750</v>
      </c>
      <c r="G139" s="218">
        <f t="shared" si="32"/>
        <v>249750</v>
      </c>
      <c r="I139" s="215">
        <v>395</v>
      </c>
      <c r="J139" s="218">
        <v>2630</v>
      </c>
      <c r="K139" s="218">
        <f>I139*J139</f>
        <v>1038850</v>
      </c>
      <c r="L139" s="218">
        <f>K139*12</f>
        <v>12466200</v>
      </c>
      <c r="Z139" s="2" t="s">
        <v>261</v>
      </c>
      <c r="AA139" s="2">
        <v>10540</v>
      </c>
      <c r="AB139" s="2">
        <v>10540</v>
      </c>
      <c r="AC139" s="2">
        <v>10540</v>
      </c>
      <c r="AD139" s="2">
        <v>10540</v>
      </c>
      <c r="AE139" s="2">
        <v>10540</v>
      </c>
      <c r="AF139" s="2">
        <v>10540</v>
      </c>
      <c r="AG139" s="2">
        <v>10540</v>
      </c>
      <c r="AH139" s="2">
        <v>10540</v>
      </c>
      <c r="AI139" s="2">
        <v>10540</v>
      </c>
      <c r="AJ139" s="2">
        <v>10540</v>
      </c>
      <c r="AK139" s="2">
        <v>10540</v>
      </c>
      <c r="AL139" s="218">
        <v>10540</v>
      </c>
      <c r="AM139" s="218">
        <v>126480</v>
      </c>
    </row>
    <row r="140" spans="4:42">
      <c r="D140" s="218" t="s">
        <v>261</v>
      </c>
      <c r="E140" s="218">
        <v>2</v>
      </c>
      <c r="F140" s="159">
        <v>5270</v>
      </c>
      <c r="G140" s="218">
        <f t="shared" si="32"/>
        <v>10540</v>
      </c>
      <c r="Z140" s="2" t="s">
        <v>262</v>
      </c>
      <c r="AA140" s="2">
        <v>11070</v>
      </c>
      <c r="AB140" s="2">
        <v>11070</v>
      </c>
      <c r="AC140" s="2">
        <v>11070</v>
      </c>
      <c r="AD140" s="2">
        <v>11070</v>
      </c>
      <c r="AE140" s="2">
        <v>11070</v>
      </c>
      <c r="AF140" s="2">
        <v>11070</v>
      </c>
      <c r="AG140" s="2">
        <v>11070</v>
      </c>
      <c r="AH140" s="2">
        <v>11070</v>
      </c>
      <c r="AI140" s="2">
        <v>11070</v>
      </c>
      <c r="AJ140" s="2">
        <v>11070</v>
      </c>
      <c r="AK140" s="2">
        <v>11070</v>
      </c>
      <c r="AL140" s="218">
        <v>11070</v>
      </c>
      <c r="AM140" s="218">
        <v>132840</v>
      </c>
    </row>
    <row r="141" spans="4:42">
      <c r="D141" s="218" t="s">
        <v>262</v>
      </c>
      <c r="E141" s="218">
        <v>3</v>
      </c>
      <c r="F141" s="159">
        <v>3690</v>
      </c>
      <c r="G141" s="218">
        <f t="shared" si="32"/>
        <v>11070</v>
      </c>
      <c r="Z141" s="2" t="s">
        <v>263</v>
      </c>
      <c r="AA141" s="2">
        <v>731500</v>
      </c>
      <c r="AB141" s="2">
        <v>731500</v>
      </c>
      <c r="AC141" s="2">
        <v>731500</v>
      </c>
      <c r="AD141" s="2">
        <v>731500</v>
      </c>
      <c r="AE141" s="2">
        <v>731500</v>
      </c>
      <c r="AF141" s="2">
        <v>731500</v>
      </c>
      <c r="AG141" s="2">
        <v>731500</v>
      </c>
      <c r="AH141" s="2">
        <v>731500</v>
      </c>
      <c r="AI141" s="2">
        <v>731500</v>
      </c>
      <c r="AJ141" s="2">
        <v>731500</v>
      </c>
      <c r="AK141" s="2">
        <v>731500</v>
      </c>
      <c r="AL141" s="218">
        <v>731500</v>
      </c>
      <c r="AM141" s="218">
        <v>8778000</v>
      </c>
    </row>
    <row r="142" spans="4:42">
      <c r="D142" s="218" t="s">
        <v>263</v>
      </c>
      <c r="E142" s="218">
        <v>190</v>
      </c>
      <c r="F142" s="159">
        <v>3850</v>
      </c>
      <c r="G142" s="218">
        <f t="shared" si="32"/>
        <v>731500</v>
      </c>
      <c r="Z142" s="2" t="s">
        <v>282</v>
      </c>
      <c r="AA142" s="2">
        <v>360900</v>
      </c>
      <c r="AB142" s="2">
        <v>360900</v>
      </c>
      <c r="AC142" s="2">
        <v>360900</v>
      </c>
      <c r="AD142" s="2">
        <v>360900</v>
      </c>
      <c r="AE142" s="2">
        <v>360900</v>
      </c>
      <c r="AF142" s="2">
        <v>360900</v>
      </c>
      <c r="AG142" s="2">
        <v>360900</v>
      </c>
      <c r="AH142" s="2">
        <v>360900</v>
      </c>
      <c r="AI142" s="2">
        <v>360900</v>
      </c>
      <c r="AJ142" s="2">
        <v>360900</v>
      </c>
      <c r="AK142" s="2">
        <v>360900</v>
      </c>
      <c r="AL142" s="218">
        <v>360900</v>
      </c>
      <c r="AM142" s="218">
        <v>4330800</v>
      </c>
    </row>
    <row r="143" spans="4:42">
      <c r="D143" s="218" t="s">
        <v>264</v>
      </c>
      <c r="E143" s="211">
        <v>90</v>
      </c>
      <c r="F143" s="159">
        <v>4010</v>
      </c>
      <c r="G143" s="218">
        <f t="shared" si="32"/>
        <v>360900</v>
      </c>
      <c r="Z143" s="2" t="s">
        <v>204</v>
      </c>
      <c r="AA143" s="2">
        <v>330400</v>
      </c>
      <c r="AB143" s="2">
        <v>330400</v>
      </c>
      <c r="AC143" s="2">
        <v>330400</v>
      </c>
      <c r="AD143" s="2">
        <v>330400</v>
      </c>
      <c r="AE143" s="2">
        <v>330400</v>
      </c>
      <c r="AF143" s="2">
        <v>330400</v>
      </c>
      <c r="AG143" s="2">
        <v>330400</v>
      </c>
      <c r="AH143" s="2">
        <v>330400</v>
      </c>
      <c r="AI143" s="2">
        <v>330400</v>
      </c>
      <c r="AJ143" s="2">
        <v>330400</v>
      </c>
      <c r="AK143" s="2">
        <v>330400</v>
      </c>
      <c r="AL143" s="218">
        <v>330400</v>
      </c>
      <c r="AM143" s="218">
        <v>3964800</v>
      </c>
    </row>
    <row r="144" spans="4:42" ht="18.600000000000001" thickBot="1">
      <c r="D144" s="212" t="s">
        <v>266</v>
      </c>
      <c r="E144" s="213">
        <v>80</v>
      </c>
      <c r="F144" s="214">
        <v>4130</v>
      </c>
      <c r="G144" s="218">
        <f t="shared" si="32"/>
        <v>330400</v>
      </c>
      <c r="AA144" s="2">
        <f t="shared" ref="AA144:AL144" si="33">J123*4130</f>
        <v>0</v>
      </c>
      <c r="AB144" s="2">
        <f t="shared" si="33"/>
        <v>413000</v>
      </c>
      <c r="AC144" s="2">
        <f t="shared" si="33"/>
        <v>619500</v>
      </c>
      <c r="AD144" s="2">
        <f t="shared" si="33"/>
        <v>784700</v>
      </c>
      <c r="AE144" s="2">
        <f t="shared" si="33"/>
        <v>949900</v>
      </c>
      <c r="AF144" s="2">
        <f t="shared" si="33"/>
        <v>1115100</v>
      </c>
      <c r="AG144" s="2">
        <f t="shared" si="33"/>
        <v>1280300</v>
      </c>
      <c r="AH144" s="2">
        <f t="shared" si="33"/>
        <v>1445500</v>
      </c>
      <c r="AI144" s="2">
        <f t="shared" si="33"/>
        <v>1569400</v>
      </c>
      <c r="AJ144" s="2">
        <f t="shared" si="33"/>
        <v>1631350</v>
      </c>
      <c r="AK144" s="2">
        <f t="shared" si="33"/>
        <v>1631350</v>
      </c>
      <c r="AL144" s="2">
        <f t="shared" si="33"/>
        <v>1631350</v>
      </c>
      <c r="AM144" s="215">
        <f>SUM(AA144:AL144)</f>
        <v>13071450</v>
      </c>
    </row>
    <row r="145" spans="5:39" ht="18.600000000000001" thickTop="1">
      <c r="E145" s="218">
        <f>SUM(E138:E144)</f>
        <v>621</v>
      </c>
      <c r="F145" s="215">
        <f>SUM(F138:F144)</f>
        <v>31900</v>
      </c>
      <c r="G145" s="218">
        <f>SUM(G138:G144)</f>
        <v>2613960</v>
      </c>
      <c r="H145" s="218">
        <f>G145*12</f>
        <v>31367520</v>
      </c>
      <c r="L145" s="218">
        <f>H145+L139</f>
        <v>43833720</v>
      </c>
      <c r="AB145" s="2">
        <f t="shared" ref="AB145:AL145" si="34">AB149*-1370</f>
        <v>-137000</v>
      </c>
      <c r="AC145" s="2">
        <f t="shared" si="34"/>
        <v>-205500</v>
      </c>
      <c r="AD145" s="2">
        <f t="shared" si="34"/>
        <v>-260300</v>
      </c>
      <c r="AE145" s="2">
        <f t="shared" si="34"/>
        <v>-315100</v>
      </c>
      <c r="AF145" s="2">
        <f t="shared" si="34"/>
        <v>-342500</v>
      </c>
      <c r="AG145" s="2">
        <f t="shared" si="34"/>
        <v>-342500</v>
      </c>
      <c r="AH145" s="2">
        <f t="shared" si="34"/>
        <v>-342500</v>
      </c>
      <c r="AI145" s="2">
        <f t="shared" si="34"/>
        <v>-342500</v>
      </c>
      <c r="AJ145" s="2">
        <f t="shared" si="34"/>
        <v>-342500</v>
      </c>
      <c r="AK145" s="2">
        <f t="shared" si="34"/>
        <v>-342500</v>
      </c>
      <c r="AL145" s="2">
        <f t="shared" si="34"/>
        <v>-342500</v>
      </c>
      <c r="AM145" s="218">
        <f>SUM(AM135:AM144)</f>
        <v>44967330</v>
      </c>
    </row>
    <row r="146" spans="5:39">
      <c r="G146" s="218">
        <f>G145/E145</f>
        <v>4209.275362318841</v>
      </c>
      <c r="H146" s="218">
        <f>G146*12</f>
        <v>50511.304347826095</v>
      </c>
      <c r="AA146" s="2">
        <f t="shared" ref="AA146:AL146" si="35">SUM(AA135:AA145)</f>
        <v>2657990</v>
      </c>
      <c r="AB146" s="2">
        <f t="shared" si="35"/>
        <v>2933990</v>
      </c>
      <c r="AC146" s="2">
        <f t="shared" si="35"/>
        <v>3071990</v>
      </c>
      <c r="AD146" s="2">
        <f t="shared" si="35"/>
        <v>3182390</v>
      </c>
      <c r="AE146" s="2">
        <f t="shared" si="35"/>
        <v>3292790</v>
      </c>
      <c r="AF146" s="2">
        <f t="shared" si="35"/>
        <v>3430590</v>
      </c>
      <c r="AG146" s="2">
        <f t="shared" si="35"/>
        <v>3595790</v>
      </c>
      <c r="AH146" s="2">
        <f t="shared" si="35"/>
        <v>3760990</v>
      </c>
      <c r="AI146" s="2">
        <f t="shared" si="35"/>
        <v>3884890</v>
      </c>
      <c r="AJ146" s="2">
        <f t="shared" si="35"/>
        <v>3946840</v>
      </c>
      <c r="AK146" s="2">
        <f t="shared" si="35"/>
        <v>3946840</v>
      </c>
      <c r="AL146" s="2">
        <f t="shared" si="35"/>
        <v>3946840</v>
      </c>
      <c r="AM146" s="215">
        <f>SUM(AA146:AL146)</f>
        <v>41651930</v>
      </c>
    </row>
    <row r="147" spans="5:39">
      <c r="V147" s="218">
        <f>4000-2630</f>
        <v>1370</v>
      </c>
    </row>
    <row r="149" spans="5:39">
      <c r="AA149" s="218">
        <v>0</v>
      </c>
      <c r="AB149" s="218">
        <v>100</v>
      </c>
      <c r="AC149" s="218">
        <v>150</v>
      </c>
      <c r="AD149" s="218">
        <v>190</v>
      </c>
      <c r="AE149" s="218">
        <v>230</v>
      </c>
      <c r="AF149" s="218">
        <v>250</v>
      </c>
      <c r="AG149" s="218">
        <v>250</v>
      </c>
      <c r="AH149" s="218">
        <v>250</v>
      </c>
      <c r="AI149" s="218">
        <v>250</v>
      </c>
      <c r="AJ149" s="218">
        <v>250</v>
      </c>
      <c r="AK149" s="218">
        <v>250</v>
      </c>
      <c r="AL149" s="218">
        <v>250</v>
      </c>
    </row>
    <row r="152" spans="5:39">
      <c r="AA152" s="2" t="s">
        <v>249</v>
      </c>
      <c r="AB152" s="2" t="s">
        <v>250</v>
      </c>
      <c r="AC152" s="2" t="s">
        <v>129</v>
      </c>
      <c r="AD152" s="2" t="s">
        <v>130</v>
      </c>
      <c r="AE152" s="2" t="s">
        <v>131</v>
      </c>
      <c r="AF152" s="2" t="s">
        <v>132</v>
      </c>
      <c r="AG152" s="2" t="s">
        <v>133</v>
      </c>
      <c r="AH152" s="2" t="s">
        <v>134</v>
      </c>
      <c r="AI152" s="2" t="s">
        <v>135</v>
      </c>
      <c r="AJ152" s="2" t="s">
        <v>136</v>
      </c>
      <c r="AK152" s="2" t="s">
        <v>137</v>
      </c>
      <c r="AL152" s="218" t="s">
        <v>138</v>
      </c>
      <c r="AM152" s="218" t="s">
        <v>156</v>
      </c>
    </row>
    <row r="153" spans="5:39">
      <c r="Z153" s="2" t="s">
        <v>291</v>
      </c>
    </row>
    <row r="154" spans="5:39">
      <c r="Z154" s="2" t="s">
        <v>292</v>
      </c>
    </row>
    <row r="155" spans="5:39">
      <c r="Z155" s="2" t="s">
        <v>293</v>
      </c>
      <c r="AA155" s="2">
        <v>919800</v>
      </c>
      <c r="AB155" s="2">
        <v>919800</v>
      </c>
      <c r="AC155" s="2">
        <v>919800</v>
      </c>
      <c r="AD155" s="2">
        <v>919800</v>
      </c>
      <c r="AE155" s="2">
        <v>919800</v>
      </c>
      <c r="AF155" s="2">
        <v>919800</v>
      </c>
      <c r="AG155" s="2">
        <v>919800</v>
      </c>
      <c r="AH155" s="2">
        <v>919800</v>
      </c>
      <c r="AI155" s="2">
        <v>919800</v>
      </c>
      <c r="AJ155" s="2">
        <v>919800</v>
      </c>
      <c r="AK155" s="2">
        <v>919800</v>
      </c>
      <c r="AL155" s="218">
        <v>919800</v>
      </c>
      <c r="AM155" s="218">
        <v>11037600</v>
      </c>
    </row>
    <row r="156" spans="5:39">
      <c r="Z156" s="2" t="s">
        <v>205</v>
      </c>
      <c r="AA156" s="2">
        <v>249750</v>
      </c>
      <c r="AB156" s="2">
        <v>249750</v>
      </c>
      <c r="AC156" s="2">
        <v>249750</v>
      </c>
      <c r="AD156" s="2">
        <v>249750</v>
      </c>
      <c r="AE156" s="2">
        <v>249750</v>
      </c>
      <c r="AF156" s="2">
        <v>249750</v>
      </c>
      <c r="AG156" s="2">
        <v>249750</v>
      </c>
      <c r="AH156" s="2">
        <v>249750</v>
      </c>
      <c r="AI156" s="2">
        <v>249750</v>
      </c>
      <c r="AJ156" s="2">
        <v>249750</v>
      </c>
      <c r="AK156" s="2">
        <v>249750</v>
      </c>
      <c r="AL156" s="218">
        <v>249750</v>
      </c>
      <c r="AM156" s="218">
        <v>2997000</v>
      </c>
    </row>
    <row r="157" spans="5:39">
      <c r="Z157" s="2" t="s">
        <v>259</v>
      </c>
      <c r="AA157" s="2">
        <v>22200</v>
      </c>
      <c r="AB157" s="2">
        <v>22200</v>
      </c>
      <c r="AC157" s="2">
        <v>22200</v>
      </c>
      <c r="AD157" s="2">
        <v>22200</v>
      </c>
      <c r="AE157" s="2">
        <v>22200</v>
      </c>
      <c r="AF157" s="2">
        <v>22200</v>
      </c>
      <c r="AG157" s="2">
        <v>22200</v>
      </c>
      <c r="AH157" s="2">
        <v>22200</v>
      </c>
      <c r="AI157" s="2">
        <v>22200</v>
      </c>
      <c r="AJ157" s="2">
        <v>22200</v>
      </c>
      <c r="AK157" s="2">
        <v>22200</v>
      </c>
      <c r="AL157" s="218">
        <v>22200</v>
      </c>
      <c r="AM157" s="218">
        <v>266400</v>
      </c>
    </row>
    <row r="158" spans="5:39">
      <c r="Z158" s="2" t="s">
        <v>260</v>
      </c>
      <c r="AA158" s="2">
        <v>21830</v>
      </c>
      <c r="AB158" s="2">
        <v>21830</v>
      </c>
      <c r="AC158" s="2">
        <v>21830</v>
      </c>
      <c r="AD158" s="2">
        <v>21830</v>
      </c>
      <c r="AE158" s="2">
        <v>21830</v>
      </c>
      <c r="AF158" s="2">
        <v>21830</v>
      </c>
      <c r="AG158" s="2">
        <v>21830</v>
      </c>
      <c r="AH158" s="2">
        <v>21830</v>
      </c>
      <c r="AI158" s="2">
        <v>21830</v>
      </c>
      <c r="AJ158" s="2">
        <v>21830</v>
      </c>
      <c r="AK158" s="2">
        <v>21830</v>
      </c>
      <c r="AL158" s="218">
        <v>21830</v>
      </c>
      <c r="AM158" s="218">
        <v>261960</v>
      </c>
    </row>
    <row r="159" spans="5:39">
      <c r="Z159" s="2" t="s">
        <v>261</v>
      </c>
      <c r="AA159" s="2">
        <v>10540</v>
      </c>
      <c r="AB159" s="2">
        <v>10540</v>
      </c>
      <c r="AC159" s="2">
        <v>10540</v>
      </c>
      <c r="AD159" s="2">
        <v>10540</v>
      </c>
      <c r="AE159" s="2">
        <v>10540</v>
      </c>
      <c r="AF159" s="2">
        <v>10540</v>
      </c>
      <c r="AG159" s="2">
        <v>10540</v>
      </c>
      <c r="AH159" s="2">
        <v>10540</v>
      </c>
      <c r="AI159" s="2">
        <v>10540</v>
      </c>
      <c r="AJ159" s="2">
        <v>10540</v>
      </c>
      <c r="AK159" s="2">
        <v>10540</v>
      </c>
      <c r="AL159" s="218">
        <v>10540</v>
      </c>
      <c r="AM159" s="218">
        <v>126480</v>
      </c>
    </row>
    <row r="160" spans="5:39">
      <c r="Z160" s="2" t="s">
        <v>262</v>
      </c>
      <c r="AA160" s="2">
        <v>11070</v>
      </c>
      <c r="AB160" s="2">
        <v>11070</v>
      </c>
      <c r="AC160" s="2">
        <v>11070</v>
      </c>
      <c r="AD160" s="2">
        <v>11070</v>
      </c>
      <c r="AE160" s="2">
        <v>11070</v>
      </c>
      <c r="AF160" s="2">
        <v>11070</v>
      </c>
      <c r="AG160" s="2">
        <v>11070</v>
      </c>
      <c r="AH160" s="2">
        <v>11070</v>
      </c>
      <c r="AI160" s="2">
        <v>11070</v>
      </c>
      <c r="AJ160" s="2">
        <v>11070</v>
      </c>
      <c r="AK160" s="2">
        <v>11070</v>
      </c>
      <c r="AL160" s="218">
        <v>11070</v>
      </c>
      <c r="AM160" s="218">
        <v>132840</v>
      </c>
    </row>
    <row r="161" spans="26:39">
      <c r="Z161" s="2" t="s">
        <v>263</v>
      </c>
      <c r="AA161" s="2">
        <v>731500</v>
      </c>
      <c r="AB161" s="2">
        <v>731500</v>
      </c>
      <c r="AC161" s="2">
        <v>731500</v>
      </c>
      <c r="AD161" s="2">
        <v>731500</v>
      </c>
      <c r="AE161" s="2">
        <v>731500</v>
      </c>
      <c r="AF161" s="2">
        <v>731500</v>
      </c>
      <c r="AG161" s="2">
        <v>731500</v>
      </c>
      <c r="AH161" s="2">
        <v>731500</v>
      </c>
      <c r="AI161" s="2">
        <v>731500</v>
      </c>
      <c r="AJ161" s="2">
        <v>731500</v>
      </c>
      <c r="AK161" s="2">
        <v>731500</v>
      </c>
      <c r="AL161" s="218">
        <v>731500</v>
      </c>
      <c r="AM161" s="218">
        <v>8778000</v>
      </c>
    </row>
    <row r="162" spans="26:39">
      <c r="Z162" s="2" t="s">
        <v>282</v>
      </c>
      <c r="AA162" s="2">
        <v>360900</v>
      </c>
      <c r="AB162" s="2">
        <v>360900</v>
      </c>
      <c r="AC162" s="2">
        <v>360900</v>
      </c>
      <c r="AD162" s="2">
        <v>360900</v>
      </c>
      <c r="AE162" s="2">
        <v>360900</v>
      </c>
      <c r="AF162" s="2">
        <v>360900</v>
      </c>
      <c r="AG162" s="2">
        <v>360900</v>
      </c>
      <c r="AH162" s="2">
        <v>360900</v>
      </c>
      <c r="AI162" s="2">
        <v>360900</v>
      </c>
      <c r="AJ162" s="2">
        <v>360900</v>
      </c>
      <c r="AK162" s="2">
        <v>360900</v>
      </c>
      <c r="AL162" s="218">
        <v>360900</v>
      </c>
      <c r="AM162" s="218">
        <v>4330800</v>
      </c>
    </row>
    <row r="163" spans="26:39">
      <c r="Z163" s="2" t="s">
        <v>204</v>
      </c>
      <c r="AA163" s="2">
        <v>330400</v>
      </c>
      <c r="AB163" s="2">
        <v>330400</v>
      </c>
      <c r="AC163" s="2">
        <v>330400</v>
      </c>
      <c r="AD163" s="2">
        <v>330400</v>
      </c>
      <c r="AE163" s="2">
        <v>330400</v>
      </c>
      <c r="AF163" s="2">
        <v>330400</v>
      </c>
      <c r="AG163" s="2">
        <v>330400</v>
      </c>
      <c r="AH163" s="2">
        <v>330400</v>
      </c>
      <c r="AI163" s="2">
        <v>330400</v>
      </c>
      <c r="AJ163" s="2">
        <v>330400</v>
      </c>
      <c r="AK163" s="2">
        <v>330400</v>
      </c>
      <c r="AL163" s="218">
        <v>330400</v>
      </c>
      <c r="AM163" s="218">
        <v>3964800</v>
      </c>
    </row>
    <row r="164" spans="26:39">
      <c r="AA164" s="2">
        <v>0</v>
      </c>
      <c r="AB164" s="2">
        <v>263000</v>
      </c>
      <c r="AC164" s="2">
        <v>394500</v>
      </c>
      <c r="AD164" s="2">
        <v>499700</v>
      </c>
      <c r="AE164" s="2">
        <v>604900</v>
      </c>
      <c r="AF164" s="2">
        <v>710100</v>
      </c>
      <c r="AG164" s="2">
        <v>815300</v>
      </c>
      <c r="AH164" s="2">
        <v>920500</v>
      </c>
      <c r="AI164" s="2">
        <v>999400</v>
      </c>
      <c r="AJ164" s="2">
        <v>1038850</v>
      </c>
      <c r="AK164" s="2">
        <v>1038850</v>
      </c>
      <c r="AL164" s="218">
        <v>1038850</v>
      </c>
      <c r="AM164" s="218">
        <v>8323950</v>
      </c>
    </row>
    <row r="165" spans="26:39">
      <c r="AB165" s="2">
        <v>-137000</v>
      </c>
      <c r="AC165" s="2">
        <v>-205500</v>
      </c>
      <c r="AD165" s="2">
        <v>-260300</v>
      </c>
      <c r="AE165" s="2">
        <v>-315100</v>
      </c>
      <c r="AF165" s="2">
        <v>-342500</v>
      </c>
      <c r="AG165" s="2">
        <v>-342500</v>
      </c>
      <c r="AH165" s="2">
        <v>-342500</v>
      </c>
      <c r="AI165" s="2">
        <v>-342500</v>
      </c>
      <c r="AJ165" s="2">
        <v>-342500</v>
      </c>
      <c r="AK165" s="2">
        <v>-342500</v>
      </c>
      <c r="AL165" s="218">
        <v>-342500</v>
      </c>
      <c r="AM165" s="218">
        <v>40219830</v>
      </c>
    </row>
    <row r="166" spans="26:39">
      <c r="AA166" s="2">
        <f t="shared" ref="AA166:AL166" si="36">SUM(AA155:AA165)</f>
        <v>2657990</v>
      </c>
      <c r="AB166" s="2">
        <f t="shared" si="36"/>
        <v>2783990</v>
      </c>
      <c r="AC166" s="2">
        <f t="shared" si="36"/>
        <v>2846990</v>
      </c>
      <c r="AD166" s="2">
        <f t="shared" si="36"/>
        <v>2897390</v>
      </c>
      <c r="AE166" s="2">
        <f t="shared" si="36"/>
        <v>2947790</v>
      </c>
      <c r="AF166" s="2">
        <f t="shared" si="36"/>
        <v>3025590</v>
      </c>
      <c r="AG166" s="2">
        <f t="shared" si="36"/>
        <v>3130790</v>
      </c>
      <c r="AH166" s="2">
        <f t="shared" si="36"/>
        <v>3235990</v>
      </c>
      <c r="AI166" s="2">
        <f t="shared" si="36"/>
        <v>3314890</v>
      </c>
      <c r="AJ166" s="2">
        <f t="shared" si="36"/>
        <v>3354340</v>
      </c>
      <c r="AK166" s="2">
        <f t="shared" si="36"/>
        <v>3354340</v>
      </c>
      <c r="AL166" s="2">
        <f t="shared" si="36"/>
        <v>3354340</v>
      </c>
      <c r="AM166" s="215">
        <f>SUM(AA166:AL166)</f>
        <v>36904430</v>
      </c>
    </row>
  </sheetData>
  <phoneticPr fontId="6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C869-8D67-44CC-8BD5-E250F201407A}">
  <sheetPr codeName="Sheet41">
    <tabColor rgb="FFFFC000"/>
  </sheetPr>
  <dimension ref="A1:S22"/>
  <sheetViews>
    <sheetView zoomScale="70" zoomScaleNormal="70" workbookViewId="0">
      <selection activeCell="K20" sqref="K20"/>
    </sheetView>
  </sheetViews>
  <sheetFormatPr defaultRowHeight="18"/>
  <cols>
    <col min="1" max="1" width="18.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1" spans="1:19">
      <c r="C1" t="s">
        <v>294</v>
      </c>
      <c r="D1" s="114" t="s">
        <v>295</v>
      </c>
    </row>
    <row r="5" spans="1:19">
      <c r="D5" t="s">
        <v>147</v>
      </c>
      <c r="H5" t="s">
        <v>123</v>
      </c>
      <c r="L5" t="s">
        <v>124</v>
      </c>
    </row>
    <row r="6" spans="1:19">
      <c r="D6" t="s">
        <v>188</v>
      </c>
      <c r="E6" t="s">
        <v>153</v>
      </c>
      <c r="H6" t="s">
        <v>188</v>
      </c>
      <c r="I6" t="s">
        <v>153</v>
      </c>
      <c r="L6" t="s">
        <v>188</v>
      </c>
      <c r="M6" t="s">
        <v>153</v>
      </c>
    </row>
    <row r="7" spans="1:19">
      <c r="D7" s="2">
        <v>370000</v>
      </c>
      <c r="E7">
        <v>1</v>
      </c>
      <c r="F7" s="2">
        <f>D7*E7</f>
        <v>370000</v>
      </c>
      <c r="H7" s="2">
        <v>370000</v>
      </c>
      <c r="I7" s="2">
        <v>1</v>
      </c>
      <c r="J7" s="2">
        <f>H7*I7</f>
        <v>370000</v>
      </c>
      <c r="L7" s="2">
        <v>370000</v>
      </c>
      <c r="M7" s="2">
        <v>1</v>
      </c>
      <c r="N7" s="2">
        <f>L7*M7</f>
        <v>370000</v>
      </c>
    </row>
    <row r="9" spans="1:19">
      <c r="D9" s="2"/>
      <c r="F9" s="2"/>
      <c r="H9" s="2"/>
      <c r="J9" s="2"/>
      <c r="L9" s="2"/>
      <c r="N9" s="2"/>
    </row>
    <row r="10" spans="1:19">
      <c r="E10" s="2"/>
      <c r="H10" t="s">
        <v>126</v>
      </c>
      <c r="I10" s="11"/>
      <c r="J10" s="11">
        <f>J9+J7</f>
        <v>370000</v>
      </c>
      <c r="L10" s="25" t="s">
        <v>126</v>
      </c>
      <c r="M10" s="26"/>
      <c r="N10" s="26">
        <f>N9+N7</f>
        <v>370000</v>
      </c>
    </row>
    <row r="11" spans="1:19">
      <c r="H11" t="s">
        <v>156</v>
      </c>
      <c r="I11" s="11"/>
      <c r="J11" s="11">
        <f>J10*12</f>
        <v>4440000</v>
      </c>
      <c r="L11" s="25" t="s">
        <v>156</v>
      </c>
      <c r="M11" s="26"/>
      <c r="N11" s="26">
        <f>N10*12</f>
        <v>4440000</v>
      </c>
    </row>
    <row r="12" spans="1:19">
      <c r="A12" t="s">
        <v>124</v>
      </c>
    </row>
    <row r="13" spans="1:19">
      <c r="A13" t="s">
        <v>296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9">
      <c r="B14" t="s">
        <v>140</v>
      </c>
      <c r="C14" s="124">
        <f>$J$10</f>
        <v>370000</v>
      </c>
      <c r="D14" s="124">
        <f t="shared" ref="D14:N14" si="0">$J$10</f>
        <v>370000</v>
      </c>
      <c r="E14" s="124">
        <f t="shared" si="0"/>
        <v>370000</v>
      </c>
      <c r="F14" s="124">
        <f t="shared" si="0"/>
        <v>370000</v>
      </c>
      <c r="G14" s="124">
        <f t="shared" si="0"/>
        <v>370000</v>
      </c>
      <c r="H14" s="124">
        <f t="shared" si="0"/>
        <v>370000</v>
      </c>
      <c r="I14" s="124">
        <f t="shared" si="0"/>
        <v>370000</v>
      </c>
      <c r="J14" s="124">
        <f t="shared" si="0"/>
        <v>370000</v>
      </c>
      <c r="K14" s="124">
        <f t="shared" si="0"/>
        <v>370000</v>
      </c>
      <c r="L14" s="124">
        <f t="shared" si="0"/>
        <v>370000</v>
      </c>
      <c r="M14" s="124">
        <f t="shared" si="0"/>
        <v>370000</v>
      </c>
      <c r="N14" s="124">
        <f t="shared" si="0"/>
        <v>370000</v>
      </c>
      <c r="O14" s="3">
        <f>SUM(C14:N14)</f>
        <v>4440000</v>
      </c>
      <c r="P14" t="s">
        <v>160</v>
      </c>
      <c r="S14" s="3">
        <f>O14-O20</f>
        <v>0</v>
      </c>
    </row>
    <row r="15" spans="1:19">
      <c r="B15" t="s">
        <v>141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>
        <f>SUM(C15:N15)</f>
        <v>0</v>
      </c>
      <c r="P15" t="s">
        <v>161</v>
      </c>
      <c r="S15" s="3">
        <f>O14-O21</f>
        <v>0</v>
      </c>
    </row>
    <row r="16" spans="1:1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spans="1:1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>
      <c r="A18" t="s">
        <v>123</v>
      </c>
    </row>
    <row r="19" spans="1:15">
      <c r="A19" t="s">
        <v>296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24">
        <f>$J$10</f>
        <v>370000</v>
      </c>
      <c r="D20" s="124">
        <f t="shared" ref="D20:N20" si="1">$J$10</f>
        <v>370000</v>
      </c>
      <c r="E20" s="124">
        <f t="shared" si="1"/>
        <v>370000</v>
      </c>
      <c r="F20" s="124">
        <f t="shared" si="1"/>
        <v>370000</v>
      </c>
      <c r="G20" s="124">
        <f t="shared" si="1"/>
        <v>370000</v>
      </c>
      <c r="H20" s="124">
        <f t="shared" si="1"/>
        <v>370000</v>
      </c>
      <c r="I20" s="124">
        <f t="shared" si="1"/>
        <v>370000</v>
      </c>
      <c r="J20" s="124">
        <f t="shared" si="1"/>
        <v>370000</v>
      </c>
      <c r="K20" s="124">
        <f t="shared" si="1"/>
        <v>370000</v>
      </c>
      <c r="L20" s="124">
        <f t="shared" si="1"/>
        <v>370000</v>
      </c>
      <c r="M20" s="124">
        <f t="shared" si="1"/>
        <v>370000</v>
      </c>
      <c r="N20" s="124">
        <f t="shared" si="1"/>
        <v>370000</v>
      </c>
      <c r="O20" s="3">
        <f>SUM(C20:N20)</f>
        <v>4440000</v>
      </c>
    </row>
    <row r="21" spans="1:15">
      <c r="B21" t="s">
        <v>141</v>
      </c>
      <c r="C21" s="2">
        <v>370000</v>
      </c>
      <c r="D21" s="2">
        <v>370000</v>
      </c>
      <c r="E21" s="2">
        <v>370000</v>
      </c>
      <c r="F21" s="2">
        <v>370000</v>
      </c>
      <c r="G21" s="2">
        <v>370000</v>
      </c>
      <c r="H21" s="2">
        <v>370000</v>
      </c>
      <c r="I21" s="2">
        <v>370000</v>
      </c>
      <c r="J21" s="2">
        <v>370000</v>
      </c>
      <c r="K21" s="2">
        <v>370000</v>
      </c>
      <c r="L21" s="2">
        <v>370000</v>
      </c>
      <c r="M21" s="2">
        <v>370000</v>
      </c>
      <c r="N21" s="2">
        <v>370000</v>
      </c>
      <c r="O21" s="3">
        <f>SUM(C21:N21)</f>
        <v>4440000</v>
      </c>
    </row>
    <row r="22" spans="1:15">
      <c r="N22" t="s">
        <v>164</v>
      </c>
      <c r="O22" s="3">
        <f>O21-O20</f>
        <v>0</v>
      </c>
    </row>
  </sheetData>
  <phoneticPr fontId="6"/>
  <hyperlinks>
    <hyperlink ref="D1" r:id="rId1" display="../../../../../:f:/r/sites/itsupport/Shared Documents/05.%E4%BA%88%E7%AE%97%E7%AE%A1%E7%90%86/2026%E5%B9%B4%E4%BA%88%E7%AE%97/%E5%AE%9F%E7%B8%BE/%E3%82%BD%E3%83%95%E3%83%88%E3%83%90%E3%83%B3%E3%82%AF%E6%A0%AA%E5%BC%8F%E4%BC%9A%E7%A4%BE%EF%BC%88MSS%EF%BC%89%E2%84%96T9130728364?csf=1&amp;web=1&amp;e=0Uetmt" xr:uid="{6CF1D639-812A-46DE-9B2A-1021A5AD2DD6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D584-4839-4070-8EF3-DB47A47BAC1C}">
  <sheetPr codeName="Sheet42">
    <tabColor rgb="FFFFC000"/>
  </sheetPr>
  <dimension ref="A1:O16"/>
  <sheetViews>
    <sheetView zoomScale="70" zoomScaleNormal="70" workbookViewId="0">
      <selection activeCell="K20" sqref="K20"/>
    </sheetView>
  </sheetViews>
  <sheetFormatPr defaultRowHeight="18"/>
  <cols>
    <col min="1" max="1" width="18.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1" spans="1:15">
      <c r="C1" t="s">
        <v>179</v>
      </c>
    </row>
    <row r="5" spans="1:15">
      <c r="D5" t="s">
        <v>147</v>
      </c>
      <c r="H5" t="s">
        <v>123</v>
      </c>
    </row>
    <row r="6" spans="1:15">
      <c r="D6" t="s">
        <v>188</v>
      </c>
      <c r="E6" t="s">
        <v>153</v>
      </c>
      <c r="H6" t="s">
        <v>188</v>
      </c>
      <c r="I6" t="s">
        <v>153</v>
      </c>
    </row>
    <row r="7" spans="1:15">
      <c r="D7" s="2">
        <v>26900</v>
      </c>
      <c r="E7">
        <v>1</v>
      </c>
      <c r="F7" s="2">
        <f>D7*E7</f>
        <v>26900</v>
      </c>
      <c r="H7" s="2">
        <v>26900</v>
      </c>
      <c r="I7" s="2">
        <v>1</v>
      </c>
      <c r="J7" s="2">
        <f>H7*I7</f>
        <v>26900</v>
      </c>
    </row>
    <row r="9" spans="1:15">
      <c r="D9" s="2"/>
      <c r="F9" s="2"/>
      <c r="H9" s="2"/>
      <c r="J9" s="2"/>
    </row>
    <row r="10" spans="1:15">
      <c r="E10" s="2"/>
      <c r="H10" s="25" t="s">
        <v>126</v>
      </c>
      <c r="I10" s="26"/>
      <c r="J10" s="26">
        <f>J9+J7</f>
        <v>26900</v>
      </c>
    </row>
    <row r="11" spans="1:15">
      <c r="H11" s="25" t="s">
        <v>156</v>
      </c>
      <c r="I11" s="26"/>
      <c r="J11" s="26">
        <f>J10*12</f>
        <v>322800</v>
      </c>
    </row>
    <row r="12" spans="1:15">
      <c r="A12" t="s">
        <v>123</v>
      </c>
    </row>
    <row r="13" spans="1:15">
      <c r="A13" t="s">
        <v>297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>
        <f>$J$10</f>
        <v>26900</v>
      </c>
      <c r="D14" s="124">
        <f t="shared" ref="D14:N14" si="0">$J$10</f>
        <v>26900</v>
      </c>
      <c r="E14" s="124">
        <f t="shared" si="0"/>
        <v>26900</v>
      </c>
      <c r="F14" s="124">
        <f t="shared" si="0"/>
        <v>26900</v>
      </c>
      <c r="G14" s="124">
        <f t="shared" si="0"/>
        <v>26900</v>
      </c>
      <c r="H14" s="124">
        <f t="shared" si="0"/>
        <v>26900</v>
      </c>
      <c r="I14" s="124">
        <f t="shared" si="0"/>
        <v>26900</v>
      </c>
      <c r="J14" s="124">
        <f t="shared" si="0"/>
        <v>26900</v>
      </c>
      <c r="K14" s="124">
        <f t="shared" si="0"/>
        <v>26900</v>
      </c>
      <c r="L14" s="124">
        <f t="shared" si="0"/>
        <v>26900</v>
      </c>
      <c r="M14" s="124">
        <f t="shared" si="0"/>
        <v>26900</v>
      </c>
      <c r="N14" s="124">
        <f t="shared" si="0"/>
        <v>26900</v>
      </c>
      <c r="O14" s="3">
        <f>SUM(C14:N14)</f>
        <v>322800</v>
      </c>
    </row>
    <row r="15" spans="1:15">
      <c r="B15" t="s">
        <v>141</v>
      </c>
      <c r="C15" s="2"/>
      <c r="D15" s="2"/>
      <c r="E15" s="2"/>
      <c r="F15" s="2"/>
      <c r="G15" s="2"/>
      <c r="H15" s="134"/>
      <c r="I15" s="2"/>
      <c r="J15" s="2"/>
      <c r="K15" s="2"/>
      <c r="L15" s="2"/>
      <c r="M15" s="2">
        <v>26900</v>
      </c>
      <c r="N15" s="2">
        <v>26900</v>
      </c>
      <c r="O15" s="3">
        <f>SUM(C15:N15)</f>
        <v>53800</v>
      </c>
    </row>
    <row r="16" spans="1:15">
      <c r="N16" t="s">
        <v>164</v>
      </c>
      <c r="O16" s="3">
        <f>O15-O14</f>
        <v>-269000</v>
      </c>
    </row>
  </sheetData>
  <phoneticPr fontId="6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7F72-F292-4B3F-A93A-AC7C584EB306}">
  <sheetPr codeName="Sheet43">
    <tabColor rgb="FFFFC000"/>
  </sheetPr>
  <dimension ref="A1:S29"/>
  <sheetViews>
    <sheetView zoomScale="70" zoomScaleNormal="70" workbookViewId="0">
      <selection activeCell="K20" sqref="K20"/>
    </sheetView>
  </sheetViews>
  <sheetFormatPr defaultRowHeight="18"/>
  <cols>
    <col min="1" max="1" width="17" customWidth="1"/>
    <col min="2" max="2" width="18.375" customWidth="1"/>
    <col min="3" max="3" width="25.75" customWidth="1"/>
    <col min="4" max="5" width="18.25" bestFit="1" customWidth="1"/>
    <col min="6" max="6" width="11.5" bestFit="1" customWidth="1"/>
    <col min="7" max="7" width="10.375" bestFit="1" customWidth="1"/>
    <col min="8" max="8" width="15" customWidth="1"/>
    <col min="9" max="9" width="11.5" bestFit="1" customWidth="1"/>
    <col min="10" max="14" width="10.375" bestFit="1" customWidth="1"/>
    <col min="15" max="15" width="14.875" customWidth="1"/>
  </cols>
  <sheetData>
    <row r="1" spans="1:14">
      <c r="E1" t="s">
        <v>298</v>
      </c>
      <c r="H1" t="s">
        <v>299</v>
      </c>
    </row>
    <row r="2" spans="1:14">
      <c r="E2" t="s">
        <v>300</v>
      </c>
      <c r="F2" t="s">
        <v>301</v>
      </c>
    </row>
    <row r="3" spans="1:14">
      <c r="D3" t="s">
        <v>147</v>
      </c>
      <c r="E3">
        <v>10</v>
      </c>
      <c r="F3">
        <v>15</v>
      </c>
      <c r="H3" t="s">
        <v>302</v>
      </c>
    </row>
    <row r="4" spans="1:14">
      <c r="D4" t="s">
        <v>123</v>
      </c>
      <c r="E4">
        <v>10</v>
      </c>
      <c r="F4">
        <v>15</v>
      </c>
      <c r="H4" t="s">
        <v>303</v>
      </c>
    </row>
    <row r="5" spans="1:14">
      <c r="D5" t="s">
        <v>124</v>
      </c>
      <c r="E5">
        <v>10</v>
      </c>
      <c r="F5">
        <v>15</v>
      </c>
    </row>
    <row r="7" spans="1:14">
      <c r="D7" t="s">
        <v>123</v>
      </c>
      <c r="H7" t="s">
        <v>124</v>
      </c>
    </row>
    <row r="8" spans="1:14">
      <c r="D8" t="s">
        <v>304</v>
      </c>
      <c r="E8" t="s">
        <v>153</v>
      </c>
    </row>
    <row r="9" spans="1:14">
      <c r="C9" t="s">
        <v>156</v>
      </c>
      <c r="D9" s="2"/>
      <c r="F9" s="2">
        <f>$D9*$E9</f>
        <v>0</v>
      </c>
      <c r="H9" s="2"/>
      <c r="I9" s="2"/>
      <c r="J9" s="2"/>
    </row>
    <row r="10" spans="1:14">
      <c r="C10" t="s">
        <v>300</v>
      </c>
      <c r="D10" s="1">
        <v>657000</v>
      </c>
      <c r="F10" s="2">
        <f t="shared" ref="F10:F11" si="0">$D10*$E10</f>
        <v>0</v>
      </c>
      <c r="H10" s="1">
        <v>330500</v>
      </c>
    </row>
    <row r="11" spans="1:14">
      <c r="C11" s="115" t="s">
        <v>305</v>
      </c>
      <c r="D11" s="2">
        <v>112500</v>
      </c>
      <c r="F11" s="2">
        <f t="shared" si="0"/>
        <v>0</v>
      </c>
      <c r="H11" s="2">
        <v>112500</v>
      </c>
      <c r="J11" s="2"/>
    </row>
    <row r="12" spans="1:14">
      <c r="E12" s="26" t="s">
        <v>306</v>
      </c>
      <c r="F12" s="26">
        <f>SUM(D10:D11)</f>
        <v>769500</v>
      </c>
      <c r="H12" s="1">
        <f>SUM(H10:H11)</f>
        <v>443000</v>
      </c>
      <c r="I12" s="11"/>
      <c r="J12" s="11"/>
    </row>
    <row r="13" spans="1:14">
      <c r="E13" s="25" t="s">
        <v>126</v>
      </c>
      <c r="F13" s="26">
        <f>F12/12</f>
        <v>64125</v>
      </c>
      <c r="H13">
        <f>H12/12</f>
        <v>36916.666666666664</v>
      </c>
      <c r="I13" s="11"/>
      <c r="J13" s="11"/>
    </row>
    <row r="14" spans="1:14">
      <c r="E14" s="25" t="s">
        <v>307</v>
      </c>
      <c r="F14" s="26">
        <f>65000</f>
        <v>65000</v>
      </c>
      <c r="H14" s="1">
        <v>37000</v>
      </c>
      <c r="I14" s="11"/>
      <c r="J14" s="11"/>
    </row>
    <row r="15" spans="1:14">
      <c r="A15" t="s">
        <v>124</v>
      </c>
      <c r="K15" t="s">
        <v>308</v>
      </c>
    </row>
    <row r="16" spans="1:14">
      <c r="A16" t="s">
        <v>309</v>
      </c>
      <c r="C16" t="s">
        <v>127</v>
      </c>
      <c r="D16" t="s">
        <v>159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  <c r="N16" t="s">
        <v>138</v>
      </c>
    </row>
    <row r="17" spans="1:19">
      <c r="B17" t="s">
        <v>140</v>
      </c>
      <c r="C17" s="27">
        <v>37000</v>
      </c>
      <c r="D17" s="27">
        <v>37000</v>
      </c>
      <c r="E17" s="27">
        <v>37000</v>
      </c>
      <c r="F17" s="27">
        <v>37000</v>
      </c>
      <c r="G17" s="27">
        <v>37000</v>
      </c>
      <c r="H17" s="27">
        <v>37000</v>
      </c>
      <c r="I17" s="27">
        <v>37000</v>
      </c>
      <c r="J17" s="27">
        <v>37000</v>
      </c>
      <c r="K17" s="27">
        <v>37000</v>
      </c>
      <c r="L17" s="27">
        <v>37000</v>
      </c>
      <c r="M17" s="27">
        <v>37000</v>
      </c>
      <c r="N17" s="27">
        <v>37000</v>
      </c>
      <c r="O17" s="24">
        <f>SUM(C17:N17)</f>
        <v>444000</v>
      </c>
      <c r="P17" t="s">
        <v>160</v>
      </c>
      <c r="S17" s="3">
        <f>O17-O24</f>
        <v>-196000</v>
      </c>
    </row>
    <row r="18" spans="1:19">
      <c r="B18" t="s">
        <v>141</v>
      </c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>
        <f>SUM(C18:N18)</f>
        <v>0</v>
      </c>
      <c r="P18" t="s">
        <v>161</v>
      </c>
      <c r="S18" s="3">
        <f>O17-O25</f>
        <v>-193130</v>
      </c>
    </row>
    <row r="19" spans="1:19">
      <c r="N19" t="s">
        <v>164</v>
      </c>
      <c r="O19" s="3">
        <f>O18-O17</f>
        <v>-444000</v>
      </c>
    </row>
    <row r="21" spans="1:19">
      <c r="A21" t="s">
        <v>310</v>
      </c>
    </row>
    <row r="22" spans="1:19">
      <c r="A22" t="s">
        <v>123</v>
      </c>
      <c r="K22" t="s">
        <v>308</v>
      </c>
    </row>
    <row r="23" spans="1:19">
      <c r="A23" t="s">
        <v>309</v>
      </c>
      <c r="C23" t="s">
        <v>127</v>
      </c>
      <c r="D23" t="s">
        <v>159</v>
      </c>
      <c r="E23" t="s">
        <v>129</v>
      </c>
      <c r="F23" t="s">
        <v>130</v>
      </c>
      <c r="G23" t="s">
        <v>131</v>
      </c>
      <c r="H23" t="s">
        <v>132</v>
      </c>
      <c r="I23" t="s">
        <v>133</v>
      </c>
      <c r="J23" t="s">
        <v>134</v>
      </c>
      <c r="K23" t="s">
        <v>135</v>
      </c>
      <c r="L23" t="s">
        <v>136</v>
      </c>
      <c r="M23" t="s">
        <v>137</v>
      </c>
      <c r="N23" t="s">
        <v>138</v>
      </c>
    </row>
    <row r="24" spans="1:19">
      <c r="B24" t="s">
        <v>140</v>
      </c>
      <c r="C24" s="26">
        <v>65000</v>
      </c>
      <c r="D24" s="26">
        <v>65000</v>
      </c>
      <c r="E24" s="26">
        <v>65000</v>
      </c>
      <c r="F24" s="26">
        <v>65000</v>
      </c>
      <c r="G24" s="26">
        <v>65000</v>
      </c>
      <c r="H24" s="26">
        <v>65000</v>
      </c>
      <c r="I24" s="26">
        <v>65000</v>
      </c>
      <c r="J24" s="26">
        <v>65000</v>
      </c>
      <c r="K24" s="26">
        <v>30000</v>
      </c>
      <c r="L24" s="26">
        <v>30000</v>
      </c>
      <c r="M24" s="26">
        <v>30000</v>
      </c>
      <c r="N24" s="26">
        <v>30000</v>
      </c>
      <c r="O24" s="24">
        <f>SUM(C24:N24)</f>
        <v>640000</v>
      </c>
      <c r="P24" t="s">
        <v>160</v>
      </c>
    </row>
    <row r="25" spans="1:19">
      <c r="B25" t="s">
        <v>141</v>
      </c>
      <c r="C25" s="2">
        <v>64125</v>
      </c>
      <c r="D25" s="2">
        <v>64125</v>
      </c>
      <c r="E25" s="2">
        <v>64125</v>
      </c>
      <c r="F25" s="2">
        <v>64125</v>
      </c>
      <c r="G25" s="2">
        <v>64125</v>
      </c>
      <c r="H25" s="2">
        <v>64125</v>
      </c>
      <c r="I25" s="2">
        <v>64125</v>
      </c>
      <c r="J25" s="3">
        <v>64125</v>
      </c>
      <c r="K25" s="3">
        <v>64130</v>
      </c>
      <c r="L25" s="3"/>
      <c r="M25" s="3">
        <v>30000</v>
      </c>
      <c r="N25" s="3">
        <v>30000</v>
      </c>
      <c r="O25" s="3">
        <f>SUM(C25:N25)</f>
        <v>637130</v>
      </c>
      <c r="P25" t="s">
        <v>161</v>
      </c>
    </row>
    <row r="26" spans="1:19">
      <c r="N26" t="s">
        <v>164</v>
      </c>
      <c r="O26" s="3">
        <f>O25-O24</f>
        <v>-2870</v>
      </c>
    </row>
    <row r="28" spans="1:19">
      <c r="A28" t="s">
        <v>310</v>
      </c>
    </row>
    <row r="29" spans="1:19">
      <c r="B29" s="96" t="s">
        <v>311</v>
      </c>
      <c r="C29" s="97">
        <v>50000</v>
      </c>
      <c r="D29" s="97">
        <v>50000</v>
      </c>
      <c r="E29" s="97">
        <v>50000</v>
      </c>
      <c r="F29" s="97">
        <v>50000</v>
      </c>
      <c r="G29" s="97">
        <v>50000</v>
      </c>
      <c r="H29" s="97">
        <v>50000</v>
      </c>
      <c r="I29" s="97">
        <v>50000</v>
      </c>
      <c r="J29" s="97">
        <v>50000</v>
      </c>
      <c r="K29" s="97">
        <v>50000</v>
      </c>
      <c r="L29" s="97">
        <v>50000</v>
      </c>
      <c r="M29" s="97">
        <v>50000</v>
      </c>
      <c r="N29" s="97">
        <v>50000</v>
      </c>
      <c r="O29" s="99">
        <f>SUM(C29:N29)</f>
        <v>600000</v>
      </c>
    </row>
  </sheetData>
  <phoneticPr fontId="6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9BA9-789C-49D7-B9BB-2D9578143962}">
  <sheetPr codeName="Sheet44">
    <tabColor rgb="FFFFC000"/>
  </sheetPr>
  <dimension ref="A1:S43"/>
  <sheetViews>
    <sheetView topLeftCell="B1" zoomScale="70" zoomScaleNormal="70" workbookViewId="0">
      <selection activeCell="K20" sqref="K20"/>
    </sheetView>
  </sheetViews>
  <sheetFormatPr defaultRowHeight="18"/>
  <cols>
    <col min="1" max="1" width="18.5" customWidth="1"/>
    <col min="2" max="2" width="23.875" bestFit="1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1" spans="1:14">
      <c r="A1" t="s">
        <v>312</v>
      </c>
      <c r="B1" t="s">
        <v>313</v>
      </c>
      <c r="C1" t="s">
        <v>314</v>
      </c>
    </row>
    <row r="2" spans="1:14">
      <c r="A2" t="s">
        <v>315</v>
      </c>
      <c r="B2" t="s">
        <v>316</v>
      </c>
      <c r="C2" s="239">
        <f>976000</f>
        <v>976000</v>
      </c>
    </row>
    <row r="3" spans="1:14">
      <c r="A3" s="253" t="s">
        <v>317</v>
      </c>
      <c r="B3" t="s">
        <v>318</v>
      </c>
      <c r="C3" s="252">
        <v>1102500</v>
      </c>
      <c r="D3" t="s">
        <v>319</v>
      </c>
    </row>
    <row r="4" spans="1:14">
      <c r="A4" s="111" t="s">
        <v>320</v>
      </c>
      <c r="B4" s="239">
        <v>26250</v>
      </c>
    </row>
    <row r="5" spans="1:14">
      <c r="A5" s="111" t="s">
        <v>321</v>
      </c>
      <c r="B5" s="239">
        <v>315000</v>
      </c>
    </row>
    <row r="6" spans="1:14">
      <c r="A6" s="111" t="s">
        <v>322</v>
      </c>
      <c r="B6" s="239">
        <v>315000</v>
      </c>
    </row>
    <row r="7" spans="1:14">
      <c r="A7" s="111" t="s">
        <v>323</v>
      </c>
      <c r="B7" s="239">
        <f>O24</f>
        <v>319750</v>
      </c>
      <c r="C7" t="s">
        <v>324</v>
      </c>
    </row>
    <row r="8" spans="1:14">
      <c r="A8" s="111" t="s">
        <v>325</v>
      </c>
      <c r="B8" s="252">
        <f>31000*12</f>
        <v>372000</v>
      </c>
      <c r="C8" t="s">
        <v>324</v>
      </c>
    </row>
    <row r="9" spans="1:14">
      <c r="A9" s="111" t="s">
        <v>326</v>
      </c>
      <c r="B9" s="252">
        <f>31000*12</f>
        <v>372000</v>
      </c>
      <c r="C9" t="s">
        <v>324</v>
      </c>
    </row>
    <row r="10" spans="1:14">
      <c r="A10" s="111" t="s">
        <v>327</v>
      </c>
      <c r="B10" s="252">
        <f>31000*12</f>
        <v>372000</v>
      </c>
      <c r="C10" t="s">
        <v>324</v>
      </c>
    </row>
    <row r="11" spans="1:14">
      <c r="A11" s="111"/>
      <c r="B11" s="239"/>
    </row>
    <row r="12" spans="1:14">
      <c r="A12" s="111"/>
      <c r="B12" s="239"/>
    </row>
    <row r="13" spans="1:14">
      <c r="A13" s="111"/>
      <c r="B13" s="239"/>
    </row>
    <row r="14" spans="1:14">
      <c r="D14" t="s">
        <v>328</v>
      </c>
      <c r="H14" t="s">
        <v>123</v>
      </c>
      <c r="L14" t="s">
        <v>329</v>
      </c>
    </row>
    <row r="15" spans="1:14">
      <c r="D15" t="s">
        <v>188</v>
      </c>
      <c r="E15" t="s">
        <v>153</v>
      </c>
      <c r="H15" t="s">
        <v>188</v>
      </c>
      <c r="I15" t="s">
        <v>153</v>
      </c>
      <c r="L15" t="s">
        <v>188</v>
      </c>
      <c r="M15" t="s">
        <v>153</v>
      </c>
    </row>
    <row r="16" spans="1:14">
      <c r="D16" s="2">
        <v>26250</v>
      </c>
      <c r="E16">
        <v>12</v>
      </c>
      <c r="F16" s="2">
        <f>D16*E16</f>
        <v>315000</v>
      </c>
      <c r="H16" s="2">
        <v>26250</v>
      </c>
      <c r="I16" s="2">
        <v>12</v>
      </c>
      <c r="J16" s="2">
        <f>H16*I16</f>
        <v>315000</v>
      </c>
      <c r="L16" s="2">
        <v>26250</v>
      </c>
      <c r="M16" s="2">
        <v>11</v>
      </c>
      <c r="N16" s="2">
        <f>L16*M16</f>
        <v>288750</v>
      </c>
    </row>
    <row r="17" spans="1:19">
      <c r="L17">
        <v>31000</v>
      </c>
      <c r="M17">
        <v>1</v>
      </c>
      <c r="N17" s="2">
        <f>L17*M17</f>
        <v>31000</v>
      </c>
    </row>
    <row r="18" spans="1:19">
      <c r="D18" s="2"/>
      <c r="F18" s="2"/>
      <c r="H18" s="2"/>
      <c r="J18" s="2"/>
    </row>
    <row r="19" spans="1:19">
      <c r="E19" s="2"/>
      <c r="H19" s="25" t="s">
        <v>126</v>
      </c>
      <c r="I19" s="26"/>
      <c r="J19" s="26">
        <f>H16</f>
        <v>26250</v>
      </c>
      <c r="N19" s="26"/>
    </row>
    <row r="20" spans="1:19">
      <c r="H20" s="25" t="s">
        <v>156</v>
      </c>
      <c r="I20" s="26"/>
      <c r="J20" s="26">
        <f>J19*12</f>
        <v>315000</v>
      </c>
      <c r="N20" s="26">
        <f>SUM(N16:N17)</f>
        <v>319750</v>
      </c>
    </row>
    <row r="21" spans="1:19">
      <c r="I21" s="11"/>
      <c r="J21" s="11"/>
      <c r="N21" s="11"/>
    </row>
    <row r="22" spans="1:19">
      <c r="A22" t="s">
        <v>124</v>
      </c>
      <c r="N22" t="s">
        <v>330</v>
      </c>
    </row>
    <row r="23" spans="1:19">
      <c r="A23" t="s">
        <v>331</v>
      </c>
      <c r="C23" t="s">
        <v>127</v>
      </c>
      <c r="D23" t="s">
        <v>159</v>
      </c>
      <c r="E23" t="s">
        <v>129</v>
      </c>
      <c r="F23" t="s">
        <v>130</v>
      </c>
      <c r="G23" t="s">
        <v>131</v>
      </c>
      <c r="H23" t="s">
        <v>132</v>
      </c>
      <c r="I23" t="s">
        <v>133</v>
      </c>
      <c r="J23" t="s">
        <v>134</v>
      </c>
      <c r="K23" t="s">
        <v>135</v>
      </c>
      <c r="L23" t="s">
        <v>136</v>
      </c>
      <c r="M23" t="s">
        <v>137</v>
      </c>
      <c r="N23" t="s">
        <v>138</v>
      </c>
    </row>
    <row r="24" spans="1:19">
      <c r="B24" t="s">
        <v>140</v>
      </c>
      <c r="C24" s="124">
        <f t="shared" ref="C24:M24" si="0">$J$19</f>
        <v>26250</v>
      </c>
      <c r="D24" s="124">
        <f t="shared" si="0"/>
        <v>26250</v>
      </c>
      <c r="E24" s="124">
        <f t="shared" si="0"/>
        <v>26250</v>
      </c>
      <c r="F24" s="124">
        <f t="shared" si="0"/>
        <v>26250</v>
      </c>
      <c r="G24" s="124">
        <f t="shared" si="0"/>
        <v>26250</v>
      </c>
      <c r="H24" s="124">
        <f t="shared" si="0"/>
        <v>26250</v>
      </c>
      <c r="I24" s="124">
        <f t="shared" si="0"/>
        <v>26250</v>
      </c>
      <c r="J24" s="124">
        <f t="shared" si="0"/>
        <v>26250</v>
      </c>
      <c r="K24" s="124">
        <f t="shared" si="0"/>
        <v>26250</v>
      </c>
      <c r="L24" s="124">
        <f t="shared" si="0"/>
        <v>26250</v>
      </c>
      <c r="M24" s="124">
        <f t="shared" si="0"/>
        <v>26250</v>
      </c>
      <c r="N24" s="124">
        <v>31000</v>
      </c>
      <c r="O24" s="3">
        <f>SUM(C24:N24)</f>
        <v>319750</v>
      </c>
      <c r="P24" t="s">
        <v>160</v>
      </c>
      <c r="S24" s="3">
        <f>O24-O29</f>
        <v>4750</v>
      </c>
    </row>
    <row r="25" spans="1:19">
      <c r="B25" t="s">
        <v>141</v>
      </c>
      <c r="C25" s="2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>
        <f>SUM(C25:N25)</f>
        <v>0</v>
      </c>
      <c r="P25" t="s">
        <v>161</v>
      </c>
      <c r="S25" s="3">
        <f>O24-O30</f>
        <v>4750</v>
      </c>
    </row>
    <row r="26" spans="1:19">
      <c r="N26" t="s">
        <v>164</v>
      </c>
      <c r="O26" s="3">
        <f>O25-O24</f>
        <v>-319750</v>
      </c>
    </row>
    <row r="27" spans="1:19">
      <c r="A27" t="s">
        <v>123</v>
      </c>
    </row>
    <row r="28" spans="1:19">
      <c r="A28" t="s">
        <v>332</v>
      </c>
      <c r="C28" t="s">
        <v>127</v>
      </c>
      <c r="D28" t="s">
        <v>159</v>
      </c>
      <c r="E28" t="s">
        <v>129</v>
      </c>
      <c r="F28" t="s">
        <v>130</v>
      </c>
      <c r="G28" t="s">
        <v>131</v>
      </c>
      <c r="H28" t="s">
        <v>132</v>
      </c>
      <c r="I28" t="s">
        <v>133</v>
      </c>
      <c r="J28" t="s">
        <v>134</v>
      </c>
      <c r="K28" t="s">
        <v>135</v>
      </c>
      <c r="L28" t="s">
        <v>136</v>
      </c>
      <c r="M28" t="s">
        <v>137</v>
      </c>
      <c r="N28" t="s">
        <v>138</v>
      </c>
    </row>
    <row r="29" spans="1:19">
      <c r="B29" t="s">
        <v>140</v>
      </c>
      <c r="C29" s="124">
        <f t="shared" ref="C29:N29" si="1">$J$19</f>
        <v>26250</v>
      </c>
      <c r="D29" s="124">
        <f t="shared" si="1"/>
        <v>26250</v>
      </c>
      <c r="E29" s="124">
        <f t="shared" si="1"/>
        <v>26250</v>
      </c>
      <c r="F29" s="124">
        <f t="shared" si="1"/>
        <v>26250</v>
      </c>
      <c r="G29" s="124">
        <f t="shared" si="1"/>
        <v>26250</v>
      </c>
      <c r="H29" s="124">
        <f t="shared" si="1"/>
        <v>26250</v>
      </c>
      <c r="I29" s="124">
        <f t="shared" si="1"/>
        <v>26250</v>
      </c>
      <c r="J29" s="124">
        <f t="shared" si="1"/>
        <v>26250</v>
      </c>
      <c r="K29" s="124">
        <f t="shared" si="1"/>
        <v>26250</v>
      </c>
      <c r="L29" s="124">
        <f t="shared" si="1"/>
        <v>26250</v>
      </c>
      <c r="M29" s="124">
        <f t="shared" si="1"/>
        <v>26250</v>
      </c>
      <c r="N29" s="124">
        <f t="shared" si="1"/>
        <v>26250</v>
      </c>
      <c r="O29" s="3">
        <f>SUM(C29:N29)</f>
        <v>315000</v>
      </c>
    </row>
    <row r="30" spans="1:19">
      <c r="B30" t="s">
        <v>333</v>
      </c>
      <c r="C30" s="2">
        <v>26250</v>
      </c>
      <c r="D30" s="2">
        <v>26250</v>
      </c>
      <c r="E30" s="2">
        <v>26250</v>
      </c>
      <c r="F30" s="2">
        <v>26250</v>
      </c>
      <c r="G30" s="2">
        <v>26250</v>
      </c>
      <c r="H30" s="2">
        <v>26250</v>
      </c>
      <c r="I30" s="2">
        <v>26250</v>
      </c>
      <c r="J30" s="3">
        <v>26250</v>
      </c>
      <c r="K30" s="3">
        <v>26250</v>
      </c>
      <c r="L30" s="3">
        <v>26250</v>
      </c>
      <c r="M30" s="3">
        <v>26250</v>
      </c>
      <c r="N30" s="3">
        <v>26250</v>
      </c>
      <c r="O30" s="3">
        <f>SUM(C30:N30)</f>
        <v>315000</v>
      </c>
    </row>
    <row r="31" spans="1:19">
      <c r="N31" t="s">
        <v>164</v>
      </c>
      <c r="O31" s="3">
        <f>O30-O29</f>
        <v>0</v>
      </c>
    </row>
    <row r="32" spans="1:19">
      <c r="B32" t="s">
        <v>334</v>
      </c>
      <c r="C32" s="269">
        <v>26250</v>
      </c>
      <c r="D32" s="134">
        <v>26250</v>
      </c>
      <c r="E32" s="134">
        <v>26250</v>
      </c>
      <c r="F32" s="134">
        <v>26250</v>
      </c>
      <c r="G32" s="134">
        <v>26250</v>
      </c>
      <c r="H32" s="134">
        <v>26250</v>
      </c>
      <c r="I32" s="134">
        <v>26250</v>
      </c>
      <c r="J32" s="134">
        <v>26250</v>
      </c>
      <c r="K32" s="134">
        <v>26250</v>
      </c>
      <c r="L32" s="265"/>
      <c r="M32" s="265">
        <v>26250</v>
      </c>
      <c r="N32" s="266">
        <v>26250</v>
      </c>
    </row>
    <row r="34" spans="1:3">
      <c r="A34" t="s">
        <v>335</v>
      </c>
    </row>
    <row r="36" spans="1:3">
      <c r="A36" t="s">
        <v>336</v>
      </c>
    </row>
    <row r="37" spans="1:3">
      <c r="A37" t="s">
        <v>337</v>
      </c>
      <c r="C37" s="1">
        <v>1102500</v>
      </c>
    </row>
    <row r="39" spans="1:3">
      <c r="A39" t="s">
        <v>338</v>
      </c>
    </row>
    <row r="40" spans="1:3">
      <c r="A40" t="s">
        <v>339</v>
      </c>
    </row>
    <row r="41" spans="1:3">
      <c r="A41" t="s">
        <v>340</v>
      </c>
    </row>
    <row r="42" spans="1:3">
      <c r="A42" t="s">
        <v>341</v>
      </c>
    </row>
    <row r="43" spans="1:3">
      <c r="A43" t="s">
        <v>342</v>
      </c>
    </row>
  </sheetData>
  <phoneticPr fontId="6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F4D4-3D9C-44B2-9B9C-906D4CDBBBC7}">
  <sheetPr codeName="Sheet34">
    <tabColor rgb="FFFFC000"/>
  </sheetPr>
  <dimension ref="A1:S45"/>
  <sheetViews>
    <sheetView topLeftCell="A7" zoomScale="66" zoomScaleNormal="55" workbookViewId="0">
      <selection activeCell="K20" sqref="K20"/>
    </sheetView>
  </sheetViews>
  <sheetFormatPr defaultRowHeight="18"/>
  <cols>
    <col min="2" max="2" width="18.375" customWidth="1"/>
    <col min="3" max="3" width="25.75" customWidth="1"/>
    <col min="4" max="4" width="18.25" bestFit="1" customWidth="1"/>
    <col min="5" max="5" width="18.125" customWidth="1"/>
    <col min="6" max="6" width="11.5" bestFit="1" customWidth="1"/>
    <col min="7" max="7" width="10.375" bestFit="1" customWidth="1"/>
    <col min="8" max="8" width="15" customWidth="1"/>
    <col min="9" max="9" width="15" bestFit="1" customWidth="1"/>
    <col min="10" max="12" width="10.375" bestFit="1" customWidth="1"/>
    <col min="13" max="13" width="15.375" customWidth="1"/>
    <col min="14" max="14" width="10.375" bestFit="1" customWidth="1"/>
    <col min="15" max="15" width="14.875" customWidth="1"/>
    <col min="19" max="19" width="13.875" customWidth="1"/>
  </cols>
  <sheetData>
    <row r="1" spans="2:12">
      <c r="B1" t="s">
        <v>343</v>
      </c>
      <c r="E1" t="s">
        <v>298</v>
      </c>
      <c r="F1" t="s">
        <v>344</v>
      </c>
      <c r="H1" t="s">
        <v>299</v>
      </c>
      <c r="J1" t="s">
        <v>345</v>
      </c>
      <c r="K1" t="s">
        <v>156</v>
      </c>
      <c r="L1" t="s">
        <v>126</v>
      </c>
    </row>
    <row r="2" spans="2:12">
      <c r="D2" t="s">
        <v>147</v>
      </c>
      <c r="E2">
        <v>260</v>
      </c>
      <c r="F2">
        <v>30</v>
      </c>
      <c r="H2" t="s">
        <v>346</v>
      </c>
    </row>
    <row r="3" spans="2:12">
      <c r="D3" t="s">
        <v>123</v>
      </c>
      <c r="E3">
        <f>E2+F3</f>
        <v>300</v>
      </c>
      <c r="F3">
        <v>40</v>
      </c>
      <c r="H3" t="s">
        <v>347</v>
      </c>
      <c r="K3" s="1">
        <v>398270</v>
      </c>
      <c r="L3">
        <f>K3/12</f>
        <v>33189.166666666664</v>
      </c>
    </row>
    <row r="4" spans="2:12">
      <c r="D4" t="s">
        <v>124</v>
      </c>
      <c r="E4">
        <v>220</v>
      </c>
      <c r="F4">
        <v>10</v>
      </c>
      <c r="G4" s="1">
        <v>260920</v>
      </c>
      <c r="H4" t="s">
        <v>347</v>
      </c>
      <c r="K4" s="1">
        <v>260920</v>
      </c>
      <c r="L4">
        <f>K4/12</f>
        <v>21743.333333333332</v>
      </c>
    </row>
    <row r="5" spans="2:12" ht="18.600000000000001" thickBot="1"/>
    <row r="6" spans="2:12">
      <c r="D6" s="409" t="s">
        <v>348</v>
      </c>
      <c r="E6" s="410"/>
      <c r="F6" s="411"/>
      <c r="G6" s="409" t="s">
        <v>349</v>
      </c>
      <c r="H6" s="410"/>
      <c r="I6" s="411"/>
    </row>
    <row r="7" spans="2:12">
      <c r="D7" s="254" t="s">
        <v>304</v>
      </c>
      <c r="E7" t="s">
        <v>153</v>
      </c>
      <c r="F7" s="255"/>
      <c r="G7" s="254" t="s">
        <v>304</v>
      </c>
      <c r="H7" t="s">
        <v>153</v>
      </c>
      <c r="I7" s="255"/>
    </row>
    <row r="8" spans="2:12">
      <c r="C8" t="s">
        <v>156</v>
      </c>
      <c r="D8" s="256">
        <v>398270</v>
      </c>
      <c r="E8">
        <v>1</v>
      </c>
      <c r="F8" s="257">
        <f>$D8*$E8</f>
        <v>398270</v>
      </c>
      <c r="G8" s="256">
        <v>398270</v>
      </c>
      <c r="H8">
        <v>0</v>
      </c>
      <c r="I8" s="257">
        <f>G$8*H$8</f>
        <v>0</v>
      </c>
      <c r="J8" s="2"/>
    </row>
    <row r="9" spans="2:12">
      <c r="C9" t="s">
        <v>350</v>
      </c>
      <c r="D9" s="258">
        <v>80000</v>
      </c>
      <c r="E9">
        <v>4</v>
      </c>
      <c r="F9" s="257">
        <f t="shared" ref="F9:F10" si="0">$D9*$E9</f>
        <v>320000</v>
      </c>
      <c r="G9" s="258">
        <v>80000</v>
      </c>
      <c r="H9">
        <v>1</v>
      </c>
      <c r="I9" s="257">
        <f>G$9*H$9</f>
        <v>80000</v>
      </c>
    </row>
    <row r="10" spans="2:12" ht="36.6" thickBot="1">
      <c r="C10" s="115" t="s">
        <v>351</v>
      </c>
      <c r="D10" s="259">
        <v>15500</v>
      </c>
      <c r="E10" s="260">
        <v>4</v>
      </c>
      <c r="F10" s="261">
        <f t="shared" si="0"/>
        <v>62000</v>
      </c>
      <c r="G10" s="259">
        <v>15500</v>
      </c>
      <c r="H10" s="260">
        <v>0</v>
      </c>
      <c r="I10" s="261">
        <f>G$10*H$10</f>
        <v>0</v>
      </c>
      <c r="J10" s="2"/>
    </row>
    <row r="11" spans="2:12">
      <c r="E11" s="11" t="s">
        <v>306</v>
      </c>
      <c r="F11" s="3">
        <f>SUM(F8:F10)</f>
        <v>780270</v>
      </c>
      <c r="I11" s="11"/>
      <c r="J11" s="11"/>
    </row>
    <row r="12" spans="2:12">
      <c r="E12" t="s">
        <v>126</v>
      </c>
      <c r="F12">
        <f>F11/12</f>
        <v>65022.5</v>
      </c>
      <c r="I12" s="11"/>
      <c r="J12" s="11"/>
    </row>
    <row r="13" spans="2:12">
      <c r="E13" t="s">
        <v>307</v>
      </c>
      <c r="F13" s="1">
        <v>65500</v>
      </c>
      <c r="I13" s="11"/>
      <c r="J13" s="11"/>
    </row>
    <row r="14" spans="2:12">
      <c r="F14" s="1"/>
      <c r="I14" s="11"/>
      <c r="J14" s="11"/>
    </row>
    <row r="15" spans="2:12">
      <c r="B15" t="s">
        <v>352</v>
      </c>
      <c r="E15" t="s">
        <v>353</v>
      </c>
      <c r="F15" s="1" t="s">
        <v>354</v>
      </c>
      <c r="I15" s="11"/>
      <c r="J15" s="11"/>
    </row>
    <row r="16" spans="2:12">
      <c r="D16" t="s">
        <v>147</v>
      </c>
      <c r="E16" t="s">
        <v>123</v>
      </c>
      <c r="F16" s="1" t="s">
        <v>124</v>
      </c>
      <c r="I16" s="11"/>
      <c r="J16" s="11"/>
    </row>
    <row r="17" spans="1:19" ht="22.5">
      <c r="C17" t="s">
        <v>156</v>
      </c>
      <c r="D17" s="2">
        <v>338000</v>
      </c>
      <c r="E17" s="2">
        <v>338000</v>
      </c>
      <c r="F17" s="270">
        <v>478000</v>
      </c>
      <c r="I17" s="11"/>
      <c r="J17" s="11"/>
    </row>
    <row r="18" spans="1:19">
      <c r="C18" t="s">
        <v>126</v>
      </c>
      <c r="D18">
        <f>D17/12</f>
        <v>28166.666666666668</v>
      </c>
      <c r="E18">
        <f t="shared" ref="E18:F18" si="1">E17/12</f>
        <v>28166.666666666668</v>
      </c>
      <c r="F18">
        <f t="shared" si="1"/>
        <v>39833.333333333336</v>
      </c>
      <c r="I18" s="11"/>
      <c r="J18" s="11"/>
    </row>
    <row r="19" spans="1:19">
      <c r="F19" s="1"/>
      <c r="I19" s="11"/>
      <c r="J19" s="11"/>
    </row>
    <row r="20" spans="1:19">
      <c r="F20" s="1"/>
      <c r="I20" s="11"/>
      <c r="J20" s="11"/>
    </row>
    <row r="21" spans="1:19">
      <c r="A21" t="s">
        <v>124</v>
      </c>
      <c r="K21" t="s">
        <v>330</v>
      </c>
    </row>
    <row r="22" spans="1:19">
      <c r="A22" t="s">
        <v>352</v>
      </c>
      <c r="C22" t="s">
        <v>127</v>
      </c>
      <c r="D22" t="s">
        <v>159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  <c r="J22" t="s">
        <v>134</v>
      </c>
      <c r="K22" t="s">
        <v>135</v>
      </c>
      <c r="L22" t="s">
        <v>136</v>
      </c>
      <c r="M22" t="s">
        <v>137</v>
      </c>
      <c r="N22" t="s">
        <v>138</v>
      </c>
    </row>
    <row r="23" spans="1:19">
      <c r="B23" t="s">
        <v>140</v>
      </c>
      <c r="C23" s="26">
        <v>28167</v>
      </c>
      <c r="D23" s="26">
        <v>28167</v>
      </c>
      <c r="E23" s="26">
        <v>28167</v>
      </c>
      <c r="F23" s="26">
        <v>28167</v>
      </c>
      <c r="G23" s="26">
        <v>28167</v>
      </c>
      <c r="H23" s="26">
        <v>28167</v>
      </c>
      <c r="I23" s="26">
        <v>28167</v>
      </c>
      <c r="J23" s="26">
        <v>28167</v>
      </c>
      <c r="K23" s="26">
        <v>39900</v>
      </c>
      <c r="L23" s="26">
        <v>39900</v>
      </c>
      <c r="M23" s="26">
        <v>39900</v>
      </c>
      <c r="N23" s="26">
        <v>39900</v>
      </c>
      <c r="O23" s="3">
        <f>SUM(C23:N23)</f>
        <v>384936</v>
      </c>
      <c r="P23" t="s">
        <v>160</v>
      </c>
      <c r="S23" s="3">
        <f>O23-O36</f>
        <v>-401064</v>
      </c>
    </row>
    <row r="24" spans="1:19">
      <c r="B24" t="s">
        <v>141</v>
      </c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>
        <f>SUM(C24:N24)</f>
        <v>0</v>
      </c>
      <c r="P24" t="s">
        <v>161</v>
      </c>
      <c r="S24" s="3">
        <f>O23-O37</f>
        <v>46929</v>
      </c>
    </row>
    <row r="25" spans="1:19"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</row>
    <row r="26" spans="1:19">
      <c r="A26" t="s">
        <v>343</v>
      </c>
      <c r="F26" t="s">
        <v>355</v>
      </c>
      <c r="M26" t="s">
        <v>356</v>
      </c>
      <c r="O26" s="3"/>
    </row>
    <row r="27" spans="1:19">
      <c r="C27" t="s">
        <v>127</v>
      </c>
      <c r="D27" t="s">
        <v>159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  <c r="J27" t="s">
        <v>134</v>
      </c>
      <c r="K27" t="s">
        <v>135</v>
      </c>
      <c r="L27" t="s">
        <v>136</v>
      </c>
      <c r="M27" t="s">
        <v>137</v>
      </c>
      <c r="N27" t="s">
        <v>138</v>
      </c>
    </row>
    <row r="28" spans="1:19">
      <c r="B28" t="s">
        <v>140</v>
      </c>
      <c r="C28" s="26">
        <v>21744</v>
      </c>
      <c r="D28" s="26">
        <v>21744</v>
      </c>
      <c r="E28" s="26">
        <v>21744</v>
      </c>
      <c r="F28" s="26">
        <f>21744+I9</f>
        <v>101744</v>
      </c>
      <c r="G28" s="26">
        <v>21744</v>
      </c>
      <c r="H28" s="26">
        <v>21744</v>
      </c>
      <c r="I28" s="26">
        <v>21744</v>
      </c>
      <c r="J28" s="26">
        <f>21744+J29</f>
        <v>101744</v>
      </c>
      <c r="K28" s="26">
        <v>21744</v>
      </c>
      <c r="L28" s="26">
        <v>21744</v>
      </c>
      <c r="M28" s="26">
        <v>21744</v>
      </c>
      <c r="N28" s="26">
        <v>21744</v>
      </c>
      <c r="O28" s="3">
        <f>SUM(C28:N28)</f>
        <v>420928</v>
      </c>
      <c r="P28" t="s">
        <v>160</v>
      </c>
      <c r="S28" s="3">
        <f>O28-O40</f>
        <v>-365072</v>
      </c>
    </row>
    <row r="29" spans="1:19">
      <c r="C29" s="11"/>
      <c r="D29" s="11"/>
      <c r="E29" s="11"/>
      <c r="F29" s="11"/>
      <c r="G29" s="11">
        <v>80000</v>
      </c>
      <c r="H29" s="11"/>
      <c r="I29" s="11"/>
      <c r="J29" s="11">
        <v>80000</v>
      </c>
      <c r="K29" s="11"/>
      <c r="L29" s="11"/>
      <c r="M29" s="11"/>
      <c r="N29" s="11"/>
      <c r="O29" s="3"/>
      <c r="S29" s="3"/>
    </row>
    <row r="30" spans="1:19">
      <c r="B30" t="s">
        <v>141</v>
      </c>
      <c r="C30" s="3"/>
      <c r="D30" s="3"/>
      <c r="E30" s="3"/>
      <c r="F30" s="3"/>
      <c r="G30" s="3">
        <v>10</v>
      </c>
      <c r="H30" s="3"/>
      <c r="I30" s="3"/>
      <c r="J30" s="3">
        <v>10</v>
      </c>
      <c r="K30" s="3"/>
      <c r="L30" s="3"/>
      <c r="M30" s="3"/>
      <c r="N30" s="3"/>
      <c r="O30" s="3">
        <f>SUM(C30:N30)</f>
        <v>20</v>
      </c>
      <c r="P30" t="s">
        <v>161</v>
      </c>
      <c r="S30" s="3">
        <f>O28-O41</f>
        <v>56986</v>
      </c>
    </row>
    <row r="31" spans="1:19">
      <c r="N31" t="s">
        <v>164</v>
      </c>
      <c r="O31" s="3">
        <f>O30-O28</f>
        <v>-420908</v>
      </c>
    </row>
    <row r="32" spans="1:19">
      <c r="O32" s="3"/>
    </row>
    <row r="33" spans="1:15">
      <c r="A33" t="s">
        <v>123</v>
      </c>
    </row>
    <row r="35" spans="1:15">
      <c r="A35" t="s">
        <v>352</v>
      </c>
      <c r="C35" t="s">
        <v>127</v>
      </c>
      <c r="D35" t="s">
        <v>159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137</v>
      </c>
      <c r="N35" t="s">
        <v>138</v>
      </c>
    </row>
    <row r="36" spans="1:15">
      <c r="B36" t="s">
        <v>140</v>
      </c>
      <c r="C36" s="26">
        <f>$F$13</f>
        <v>65500</v>
      </c>
      <c r="D36" s="26">
        <f t="shared" ref="D36:N36" si="2">$F$13</f>
        <v>65500</v>
      </c>
      <c r="E36" s="26">
        <f t="shared" si="2"/>
        <v>65500</v>
      </c>
      <c r="F36" s="26">
        <f t="shared" si="2"/>
        <v>65500</v>
      </c>
      <c r="G36" s="26">
        <f t="shared" si="2"/>
        <v>65500</v>
      </c>
      <c r="H36" s="26">
        <f t="shared" si="2"/>
        <v>65500</v>
      </c>
      <c r="I36" s="26">
        <f t="shared" si="2"/>
        <v>65500</v>
      </c>
      <c r="J36" s="26">
        <f t="shared" si="2"/>
        <v>65500</v>
      </c>
      <c r="K36" s="26">
        <f t="shared" si="2"/>
        <v>65500</v>
      </c>
      <c r="L36" s="26">
        <f t="shared" si="2"/>
        <v>65500</v>
      </c>
      <c r="M36" s="26">
        <f t="shared" si="2"/>
        <v>65500</v>
      </c>
      <c r="N36" s="26">
        <f t="shared" si="2"/>
        <v>65500</v>
      </c>
      <c r="O36" s="3">
        <f>SUM(C36:N36)</f>
        <v>786000</v>
      </c>
    </row>
    <row r="37" spans="1:15">
      <c r="B37" t="s">
        <v>141</v>
      </c>
      <c r="C37" s="2">
        <v>28167</v>
      </c>
      <c r="D37" s="2">
        <v>28167</v>
      </c>
      <c r="E37" s="2">
        <v>28167</v>
      </c>
      <c r="F37" s="2">
        <v>28167</v>
      </c>
      <c r="G37" s="2">
        <v>28167</v>
      </c>
      <c r="H37" s="2">
        <v>28167</v>
      </c>
      <c r="I37" s="2">
        <v>28167</v>
      </c>
      <c r="J37" s="2">
        <v>28170</v>
      </c>
      <c r="K37" s="2">
        <v>28167</v>
      </c>
      <c r="L37" s="2">
        <v>28167</v>
      </c>
      <c r="M37" s="2">
        <v>28167</v>
      </c>
      <c r="N37" s="2">
        <v>28167</v>
      </c>
      <c r="O37" s="3">
        <f>SUM(C37:N37)</f>
        <v>338007</v>
      </c>
    </row>
    <row r="38" spans="1:15">
      <c r="N38" t="s">
        <v>164</v>
      </c>
      <c r="O38" s="3">
        <f>O37-O36</f>
        <v>-447993</v>
      </c>
    </row>
    <row r="39" spans="1:15">
      <c r="A39" t="s">
        <v>343</v>
      </c>
      <c r="C39" t="s">
        <v>127</v>
      </c>
      <c r="D39" t="s">
        <v>159</v>
      </c>
      <c r="E39" t="s">
        <v>129</v>
      </c>
      <c r="F39" t="s">
        <v>130</v>
      </c>
      <c r="G39" t="s">
        <v>131</v>
      </c>
      <c r="H39" t="s">
        <v>132</v>
      </c>
      <c r="I39" t="s">
        <v>133</v>
      </c>
      <c r="J39" t="s">
        <v>134</v>
      </c>
      <c r="K39" t="s">
        <v>135</v>
      </c>
      <c r="L39" t="s">
        <v>136</v>
      </c>
      <c r="M39" t="s">
        <v>137</v>
      </c>
      <c r="N39" t="s">
        <v>138</v>
      </c>
    </row>
    <row r="40" spans="1:15">
      <c r="B40" t="s">
        <v>140</v>
      </c>
      <c r="C40" s="26">
        <f t="shared" ref="C40:N40" si="3">$F$13</f>
        <v>65500</v>
      </c>
      <c r="D40" s="26">
        <f t="shared" si="3"/>
        <v>65500</v>
      </c>
      <c r="E40" s="26">
        <f t="shared" si="3"/>
        <v>65500</v>
      </c>
      <c r="F40" s="26">
        <f t="shared" si="3"/>
        <v>65500</v>
      </c>
      <c r="G40" s="26">
        <f t="shared" si="3"/>
        <v>65500</v>
      </c>
      <c r="H40" s="26">
        <f t="shared" si="3"/>
        <v>65500</v>
      </c>
      <c r="I40" s="26">
        <f t="shared" si="3"/>
        <v>65500</v>
      </c>
      <c r="J40" s="26">
        <f t="shared" si="3"/>
        <v>65500</v>
      </c>
      <c r="K40" s="26">
        <f t="shared" si="3"/>
        <v>65500</v>
      </c>
      <c r="L40" s="26">
        <f t="shared" si="3"/>
        <v>65500</v>
      </c>
      <c r="M40" s="26">
        <f t="shared" si="3"/>
        <v>65500</v>
      </c>
      <c r="N40" s="26">
        <f t="shared" si="3"/>
        <v>65500</v>
      </c>
      <c r="O40" s="3">
        <f>SUM(C40:N40)</f>
        <v>786000</v>
      </c>
    </row>
    <row r="41" spans="1:15">
      <c r="B41" t="s">
        <v>141</v>
      </c>
      <c r="C41" s="2">
        <v>33190</v>
      </c>
      <c r="D41" s="2">
        <v>33190</v>
      </c>
      <c r="E41" s="2">
        <v>33190</v>
      </c>
      <c r="F41" s="2">
        <v>33190</v>
      </c>
      <c r="G41" s="2">
        <v>33190</v>
      </c>
      <c r="H41" s="2">
        <v>33190</v>
      </c>
      <c r="I41" s="2">
        <v>33190</v>
      </c>
      <c r="J41" s="2">
        <v>33190</v>
      </c>
      <c r="K41" s="2">
        <v>33190</v>
      </c>
      <c r="L41" s="3">
        <v>21744</v>
      </c>
      <c r="M41" s="3">
        <v>21744</v>
      </c>
      <c r="N41" s="3">
        <v>21744</v>
      </c>
      <c r="O41" s="3">
        <f>SUM(C41:N41)</f>
        <v>363942</v>
      </c>
    </row>
    <row r="42" spans="1:15">
      <c r="N42" t="s">
        <v>164</v>
      </c>
      <c r="O42" s="3">
        <f>O41-O40</f>
        <v>-422058</v>
      </c>
    </row>
    <row r="44" spans="1:15">
      <c r="A44" t="s">
        <v>310</v>
      </c>
    </row>
    <row r="45" spans="1:15">
      <c r="B45" s="96" t="s">
        <v>357</v>
      </c>
      <c r="C45" s="97">
        <v>63419</v>
      </c>
      <c r="D45" s="97">
        <v>63419</v>
      </c>
      <c r="E45" s="97">
        <v>63419</v>
      </c>
      <c r="F45" s="97">
        <v>77860</v>
      </c>
      <c r="G45" s="97">
        <v>77860</v>
      </c>
      <c r="H45" s="97">
        <v>77860</v>
      </c>
      <c r="I45" s="97">
        <v>77860</v>
      </c>
      <c r="J45" s="97">
        <v>77860</v>
      </c>
      <c r="K45" s="97">
        <v>52000</v>
      </c>
      <c r="L45" s="97">
        <v>52000</v>
      </c>
      <c r="M45" s="97">
        <v>52000</v>
      </c>
      <c r="N45" s="98">
        <v>52000</v>
      </c>
      <c r="O45" s="99">
        <v>787557</v>
      </c>
    </row>
  </sheetData>
  <mergeCells count="2">
    <mergeCell ref="D6:F6"/>
    <mergeCell ref="G6:I6"/>
  </mergeCells>
  <phoneticPr fontId="6"/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2835-DBA3-449A-8108-08C61E430C43}">
  <sheetPr>
    <tabColor rgb="FFFFC000"/>
  </sheetPr>
  <dimension ref="A1:O34"/>
  <sheetViews>
    <sheetView topLeftCell="E1" zoomScaleNormal="100" workbookViewId="0">
      <selection activeCell="K20" sqref="K20"/>
    </sheetView>
  </sheetViews>
  <sheetFormatPr defaultRowHeight="18"/>
  <cols>
    <col min="1" max="1" width="20.7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1" spans="1:15">
      <c r="D1" t="s">
        <v>312</v>
      </c>
      <c r="E1" t="s">
        <v>299</v>
      </c>
      <c r="G1" t="s">
        <v>125</v>
      </c>
    </row>
    <row r="2" spans="1:15">
      <c r="C2" t="s">
        <v>358</v>
      </c>
      <c r="D2" t="s">
        <v>359</v>
      </c>
    </row>
    <row r="3" spans="1:15">
      <c r="C3" t="s">
        <v>360</v>
      </c>
      <c r="D3" t="s">
        <v>361</v>
      </c>
      <c r="E3" s="43" t="s">
        <v>362</v>
      </c>
      <c r="G3" s="1">
        <v>370000</v>
      </c>
    </row>
    <row r="4" spans="1:15">
      <c r="C4" t="s">
        <v>363</v>
      </c>
      <c r="D4" t="s">
        <v>364</v>
      </c>
      <c r="E4" s="43" t="s">
        <v>365</v>
      </c>
      <c r="G4" s="1">
        <v>370000</v>
      </c>
    </row>
    <row r="6" spans="1:15">
      <c r="D6" t="s">
        <v>328</v>
      </c>
      <c r="H6" t="s">
        <v>123</v>
      </c>
    </row>
    <row r="7" spans="1:15">
      <c r="D7" t="s">
        <v>188</v>
      </c>
      <c r="E7" t="s">
        <v>153</v>
      </c>
      <c r="H7" t="s">
        <v>188</v>
      </c>
      <c r="I7" t="s">
        <v>153</v>
      </c>
    </row>
    <row r="8" spans="1:15">
      <c r="D8" s="188">
        <f>F8/E8</f>
        <v>30833.333333333332</v>
      </c>
      <c r="E8">
        <v>12</v>
      </c>
      <c r="F8" s="1">
        <v>370000</v>
      </c>
      <c r="H8" s="188">
        <f>J8/I8</f>
        <v>30833.333333333332</v>
      </c>
      <c r="I8" s="2">
        <v>12</v>
      </c>
      <c r="J8" s="2">
        <f>G4</f>
        <v>370000</v>
      </c>
      <c r="L8" s="2"/>
      <c r="M8" s="2"/>
      <c r="N8" s="2">
        <f>L8*M8</f>
        <v>0</v>
      </c>
    </row>
    <row r="10" spans="1:15">
      <c r="D10" s="2"/>
      <c r="F10" s="2"/>
      <c r="H10" s="2"/>
      <c r="J10" s="2"/>
    </row>
    <row r="11" spans="1:15">
      <c r="E11" s="2"/>
      <c r="H11" s="25" t="s">
        <v>126</v>
      </c>
      <c r="I11" s="26"/>
      <c r="J11" s="189">
        <f>H8</f>
        <v>30833.333333333332</v>
      </c>
      <c r="K11" s="26">
        <v>30834</v>
      </c>
    </row>
    <row r="12" spans="1:15">
      <c r="H12" s="25" t="s">
        <v>156</v>
      </c>
      <c r="I12" s="26"/>
      <c r="J12" s="26">
        <f>J11*12</f>
        <v>370000</v>
      </c>
    </row>
    <row r="13" spans="1:15">
      <c r="A13" t="s">
        <v>123</v>
      </c>
    </row>
    <row r="14" spans="1:15">
      <c r="A14" t="s">
        <v>366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5">
      <c r="B15" t="s">
        <v>140</v>
      </c>
      <c r="C15" s="124">
        <f>$K$11</f>
        <v>30834</v>
      </c>
      <c r="D15" s="124">
        <f t="shared" ref="D15:N15" si="0">$K$11</f>
        <v>30834</v>
      </c>
      <c r="E15" s="124">
        <f t="shared" si="0"/>
        <v>30834</v>
      </c>
      <c r="F15" s="124">
        <f t="shared" si="0"/>
        <v>30834</v>
      </c>
      <c r="G15" s="124">
        <f t="shared" si="0"/>
        <v>30834</v>
      </c>
      <c r="H15" s="124">
        <f t="shared" si="0"/>
        <v>30834</v>
      </c>
      <c r="I15" s="124">
        <f t="shared" si="0"/>
        <v>30834</v>
      </c>
      <c r="J15" s="124">
        <f t="shared" si="0"/>
        <v>30834</v>
      </c>
      <c r="K15" s="124">
        <f t="shared" si="0"/>
        <v>30834</v>
      </c>
      <c r="L15" s="124">
        <f t="shared" si="0"/>
        <v>30834</v>
      </c>
      <c r="M15" s="124">
        <f t="shared" si="0"/>
        <v>30834</v>
      </c>
      <c r="N15" s="124">
        <f t="shared" si="0"/>
        <v>30834</v>
      </c>
      <c r="O15" s="3">
        <f>SUM(C15:N15)</f>
        <v>370008</v>
      </c>
    </row>
    <row r="16" spans="1:15">
      <c r="B16" t="s">
        <v>141</v>
      </c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>
        <f>SUM(C16:N16)</f>
        <v>0</v>
      </c>
    </row>
    <row r="17" spans="1:15">
      <c r="N17" t="s">
        <v>164</v>
      </c>
      <c r="O17" s="3">
        <f>O16-O15</f>
        <v>-370008</v>
      </c>
    </row>
    <row r="24" spans="1:15">
      <c r="A24" t="s">
        <v>367</v>
      </c>
    </row>
    <row r="25" spans="1:15">
      <c r="A25" t="s">
        <v>335</v>
      </c>
    </row>
    <row r="27" spans="1:15">
      <c r="A27" t="s">
        <v>336</v>
      </c>
    </row>
    <row r="28" spans="1:15">
      <c r="A28" t="s">
        <v>337</v>
      </c>
    </row>
    <row r="30" spans="1:15">
      <c r="A30" t="s">
        <v>338</v>
      </c>
    </row>
    <row r="31" spans="1:15">
      <c r="A31" t="s">
        <v>339</v>
      </c>
    </row>
    <row r="32" spans="1:15">
      <c r="A32" t="s">
        <v>340</v>
      </c>
    </row>
    <row r="33" spans="1:1">
      <c r="A33" t="s">
        <v>341</v>
      </c>
    </row>
    <row r="34" spans="1:1">
      <c r="A34" t="s">
        <v>342</v>
      </c>
    </row>
  </sheetData>
  <phoneticPr fontId="6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3185-D13D-428A-84F5-16D04C88EAB2}">
  <sheetPr codeName="Sheet45">
    <tabColor rgb="FFFFC000"/>
  </sheetPr>
  <dimension ref="A2:O16"/>
  <sheetViews>
    <sheetView zoomScale="71" workbookViewId="0">
      <selection activeCell="K20" sqref="K20"/>
    </sheetView>
  </sheetViews>
  <sheetFormatPr defaultRowHeight="18"/>
  <cols>
    <col min="1" max="1" width="20.7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2" spans="1:15">
      <c r="C2" t="s">
        <v>345</v>
      </c>
      <c r="D2" t="s">
        <v>368</v>
      </c>
    </row>
    <row r="3" spans="1:15">
      <c r="C3" t="s">
        <v>299</v>
      </c>
      <c r="D3" t="s">
        <v>369</v>
      </c>
    </row>
    <row r="5" spans="1:15">
      <c r="C5" t="s">
        <v>328</v>
      </c>
      <c r="G5" t="s">
        <v>123</v>
      </c>
    </row>
    <row r="6" spans="1:15">
      <c r="C6" t="s">
        <v>156</v>
      </c>
      <c r="D6" t="s">
        <v>188</v>
      </c>
      <c r="G6" t="s">
        <v>156</v>
      </c>
      <c r="H6" t="s">
        <v>188</v>
      </c>
    </row>
    <row r="7" spans="1:15">
      <c r="C7" s="2">
        <v>47500</v>
      </c>
      <c r="D7" s="2">
        <f>C7/12</f>
        <v>3958.3333333333335</v>
      </c>
      <c r="F7" s="2"/>
      <c r="G7" s="2">
        <f>H7*12</f>
        <v>50400</v>
      </c>
      <c r="H7" s="2">
        <v>4200</v>
      </c>
      <c r="I7" s="2"/>
      <c r="J7" s="2"/>
      <c r="L7" s="2"/>
      <c r="M7" s="2"/>
      <c r="N7" s="2"/>
    </row>
    <row r="9" spans="1:15">
      <c r="D9" s="2"/>
      <c r="F9" s="2"/>
      <c r="H9" s="2"/>
      <c r="J9" s="2"/>
    </row>
    <row r="10" spans="1:15">
      <c r="E10" s="2"/>
      <c r="G10" s="25" t="s">
        <v>126</v>
      </c>
      <c r="H10" s="26">
        <f>H7</f>
        <v>4200</v>
      </c>
    </row>
    <row r="11" spans="1:15">
      <c r="G11" s="25" t="s">
        <v>156</v>
      </c>
      <c r="H11" s="26">
        <f>H10*12</f>
        <v>50400</v>
      </c>
    </row>
    <row r="12" spans="1:15">
      <c r="A12" t="s">
        <v>123</v>
      </c>
    </row>
    <row r="13" spans="1:15">
      <c r="A13" t="s">
        <v>370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>
        <f t="shared" ref="C14:N14" si="0">$H$10</f>
        <v>4200</v>
      </c>
      <c r="D14" s="124">
        <f t="shared" si="0"/>
        <v>4200</v>
      </c>
      <c r="E14" s="124">
        <f t="shared" si="0"/>
        <v>4200</v>
      </c>
      <c r="F14" s="124">
        <f t="shared" si="0"/>
        <v>4200</v>
      </c>
      <c r="G14" s="124">
        <f t="shared" si="0"/>
        <v>4200</v>
      </c>
      <c r="H14" s="124">
        <f t="shared" si="0"/>
        <v>4200</v>
      </c>
      <c r="I14" s="124">
        <f t="shared" si="0"/>
        <v>4200</v>
      </c>
      <c r="J14" s="124">
        <f t="shared" si="0"/>
        <v>4200</v>
      </c>
      <c r="K14" s="124">
        <f t="shared" si="0"/>
        <v>4200</v>
      </c>
      <c r="L14" s="124">
        <f t="shared" si="0"/>
        <v>4200</v>
      </c>
      <c r="M14" s="124">
        <f t="shared" si="0"/>
        <v>4200</v>
      </c>
      <c r="N14" s="124">
        <f t="shared" si="0"/>
        <v>4200</v>
      </c>
      <c r="O14" s="3">
        <f>SUM(C14:N14)</f>
        <v>50400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N16" t="s">
        <v>164</v>
      </c>
      <c r="O16" s="3">
        <f>O15-O14</f>
        <v>-50400</v>
      </c>
    </row>
  </sheetData>
  <phoneticPr fontId="6"/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91B2-7E24-4A2C-98DA-DB3B286C7574}">
  <sheetPr codeName="Sheet46">
    <tabColor rgb="FFFFC000"/>
  </sheetPr>
  <dimension ref="A2:O38"/>
  <sheetViews>
    <sheetView zoomScale="40" zoomScaleNormal="40" workbookViewId="0">
      <selection activeCell="K20" sqref="K20"/>
    </sheetView>
  </sheetViews>
  <sheetFormatPr defaultRowHeight="18"/>
  <cols>
    <col min="1" max="1" width="20.7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2" spans="1:15">
      <c r="C2" t="s">
        <v>312</v>
      </c>
      <c r="D2" t="s">
        <v>371</v>
      </c>
    </row>
    <row r="3" spans="1:15">
      <c r="C3" t="s">
        <v>299</v>
      </c>
      <c r="D3" t="s">
        <v>372</v>
      </c>
    </row>
    <row r="5" spans="1:15">
      <c r="C5" t="s">
        <v>328</v>
      </c>
      <c r="G5" t="s">
        <v>123</v>
      </c>
    </row>
    <row r="6" spans="1:15">
      <c r="C6" t="s">
        <v>156</v>
      </c>
      <c r="D6" t="s">
        <v>188</v>
      </c>
      <c r="G6" t="s">
        <v>156</v>
      </c>
      <c r="H6" t="s">
        <v>188</v>
      </c>
    </row>
    <row r="7" spans="1:15">
      <c r="C7" s="2">
        <v>108500</v>
      </c>
      <c r="D7" s="2">
        <f>C7/12</f>
        <v>9041.6666666666661</v>
      </c>
      <c r="F7" s="2"/>
      <c r="G7" s="2">
        <f>H7*12</f>
        <v>120000</v>
      </c>
      <c r="H7" s="2">
        <v>10000</v>
      </c>
      <c r="I7" s="2"/>
      <c r="J7" s="2"/>
      <c r="L7" s="2"/>
      <c r="M7" s="2"/>
      <c r="N7" s="2"/>
    </row>
    <row r="9" spans="1:15">
      <c r="D9" s="2"/>
      <c r="F9" s="2"/>
      <c r="H9" s="2"/>
      <c r="J9" s="2"/>
    </row>
    <row r="10" spans="1:15">
      <c r="E10" s="2"/>
      <c r="G10" s="25" t="s">
        <v>126</v>
      </c>
      <c r="H10" s="26">
        <f>H7</f>
        <v>10000</v>
      </c>
    </row>
    <row r="11" spans="1:15">
      <c r="G11" s="25" t="s">
        <v>156</v>
      </c>
      <c r="H11" s="26">
        <f>H10*12</f>
        <v>120000</v>
      </c>
    </row>
    <row r="12" spans="1:15">
      <c r="A12" t="s">
        <v>124</v>
      </c>
    </row>
    <row r="13" spans="1:15">
      <c r="A13" t="s">
        <v>373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26">
        <f t="shared" ref="C14:N14" si="0">$H$10</f>
        <v>10000</v>
      </c>
      <c r="D14" s="26">
        <f t="shared" si="0"/>
        <v>10000</v>
      </c>
      <c r="E14" s="26">
        <f t="shared" si="0"/>
        <v>10000</v>
      </c>
      <c r="F14" s="26">
        <f t="shared" si="0"/>
        <v>10000</v>
      </c>
      <c r="G14" s="26">
        <f t="shared" si="0"/>
        <v>10000</v>
      </c>
      <c r="H14" s="26">
        <f t="shared" si="0"/>
        <v>10000</v>
      </c>
      <c r="I14" s="26">
        <f t="shared" si="0"/>
        <v>10000</v>
      </c>
      <c r="J14" s="26">
        <f t="shared" si="0"/>
        <v>10000</v>
      </c>
      <c r="K14" s="26">
        <f t="shared" si="0"/>
        <v>10000</v>
      </c>
      <c r="L14" s="26">
        <f t="shared" si="0"/>
        <v>10000</v>
      </c>
      <c r="M14" s="26">
        <f t="shared" si="0"/>
        <v>10000</v>
      </c>
      <c r="N14" s="26">
        <f t="shared" si="0"/>
        <v>10000</v>
      </c>
      <c r="O14" s="3">
        <f>SUM(C14:N14)</f>
        <v>120000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N16" t="s">
        <v>164</v>
      </c>
      <c r="O16" s="3">
        <f>O15-O14</f>
        <v>-120000</v>
      </c>
    </row>
    <row r="17" spans="1:15">
      <c r="A17" t="s">
        <v>123</v>
      </c>
    </row>
    <row r="18" spans="1:15">
      <c r="A18" t="s">
        <v>373</v>
      </c>
      <c r="C18" t="s">
        <v>127</v>
      </c>
      <c r="D18" t="s">
        <v>159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136</v>
      </c>
      <c r="M18" t="s">
        <v>137</v>
      </c>
      <c r="N18" t="s">
        <v>138</v>
      </c>
    </row>
    <row r="19" spans="1:15">
      <c r="B19" t="s">
        <v>140</v>
      </c>
      <c r="C19" s="11">
        <f t="shared" ref="C19:N19" si="1">$H$10</f>
        <v>10000</v>
      </c>
      <c r="D19" s="11">
        <f t="shared" si="1"/>
        <v>10000</v>
      </c>
      <c r="E19" s="11">
        <f t="shared" si="1"/>
        <v>10000</v>
      </c>
      <c r="F19" s="11">
        <f t="shared" si="1"/>
        <v>10000</v>
      </c>
      <c r="G19" s="11">
        <f t="shared" si="1"/>
        <v>10000</v>
      </c>
      <c r="H19" s="11">
        <f t="shared" si="1"/>
        <v>10000</v>
      </c>
      <c r="I19" s="11">
        <f t="shared" si="1"/>
        <v>10000</v>
      </c>
      <c r="J19" s="11">
        <f t="shared" si="1"/>
        <v>10000</v>
      </c>
      <c r="K19" s="11">
        <f t="shared" si="1"/>
        <v>10000</v>
      </c>
      <c r="L19" s="11">
        <f t="shared" si="1"/>
        <v>10000</v>
      </c>
      <c r="M19" s="11">
        <f t="shared" si="1"/>
        <v>10000</v>
      </c>
      <c r="N19" s="11">
        <f t="shared" si="1"/>
        <v>10000</v>
      </c>
      <c r="O19" s="3">
        <f>SUM(C19:N19)</f>
        <v>120000</v>
      </c>
    </row>
    <row r="20" spans="1:15">
      <c r="B20" t="s">
        <v>141</v>
      </c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>
        <f>SUM(C20:N20)</f>
        <v>0</v>
      </c>
    </row>
    <row r="21" spans="1:15">
      <c r="N21" t="s">
        <v>164</v>
      </c>
      <c r="O21" s="3">
        <f>O20-O19</f>
        <v>-120000</v>
      </c>
    </row>
    <row r="28" spans="1:15">
      <c r="A28" t="s">
        <v>367</v>
      </c>
    </row>
    <row r="29" spans="1:15">
      <c r="A29" t="s">
        <v>335</v>
      </c>
    </row>
    <row r="31" spans="1:15">
      <c r="A31" t="s">
        <v>336</v>
      </c>
    </row>
    <row r="32" spans="1:15">
      <c r="A32" t="s">
        <v>337</v>
      </c>
    </row>
    <row r="34" spans="1:1">
      <c r="A34" t="s">
        <v>338</v>
      </c>
    </row>
    <row r="35" spans="1:1">
      <c r="A35" t="s">
        <v>339</v>
      </c>
    </row>
    <row r="36" spans="1:1">
      <c r="A36" t="s">
        <v>340</v>
      </c>
    </row>
    <row r="37" spans="1:1">
      <c r="A37" t="s">
        <v>341</v>
      </c>
    </row>
    <row r="38" spans="1:1">
      <c r="A38" t="s">
        <v>342</v>
      </c>
    </row>
  </sheetData>
  <phoneticPr fontId="6"/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CFFB-E43E-4CE1-8E3B-69971D62C5AA}">
  <sheetPr codeName="Sheet13">
    <tabColor rgb="FFFFC000"/>
  </sheetPr>
  <dimension ref="A3:T66"/>
  <sheetViews>
    <sheetView topLeftCell="A11" zoomScale="70" zoomScaleNormal="70" workbookViewId="0">
      <selection activeCell="K20" sqref="K20"/>
    </sheetView>
  </sheetViews>
  <sheetFormatPr defaultRowHeight="18"/>
  <cols>
    <col min="3" max="3" width="50.25" customWidth="1"/>
    <col min="4" max="4" width="15.125" customWidth="1"/>
    <col min="5" max="5" width="11" bestFit="1" customWidth="1"/>
    <col min="6" max="8" width="12.25" bestFit="1" customWidth="1"/>
    <col min="9" max="9" width="17" customWidth="1"/>
    <col min="10" max="15" width="12.25" bestFit="1" customWidth="1"/>
    <col min="16" max="16" width="17.375" customWidth="1"/>
  </cols>
  <sheetData>
    <row r="3" spans="3:18">
      <c r="C3" t="s">
        <v>374</v>
      </c>
      <c r="D3">
        <v>420</v>
      </c>
    </row>
    <row r="4" spans="3:18">
      <c r="C4" t="s">
        <v>375</v>
      </c>
      <c r="D4">
        <v>500</v>
      </c>
    </row>
    <row r="5" spans="3:18">
      <c r="C5" t="s">
        <v>376</v>
      </c>
      <c r="D5">
        <v>600</v>
      </c>
    </row>
    <row r="7" spans="3:18">
      <c r="E7" t="s">
        <v>377</v>
      </c>
      <c r="G7" t="s">
        <v>328</v>
      </c>
      <c r="I7" t="s">
        <v>192</v>
      </c>
    </row>
    <row r="8" spans="3:18">
      <c r="D8" t="s">
        <v>378</v>
      </c>
      <c r="E8" t="s">
        <v>153</v>
      </c>
      <c r="F8" t="s">
        <v>172</v>
      </c>
      <c r="G8" t="s">
        <v>153</v>
      </c>
      <c r="H8" t="s">
        <v>172</v>
      </c>
      <c r="I8" t="s">
        <v>379</v>
      </c>
      <c r="J8" t="s">
        <v>153</v>
      </c>
      <c r="K8" t="s">
        <v>172</v>
      </c>
    </row>
    <row r="9" spans="3:18">
      <c r="C9" t="s">
        <v>380</v>
      </c>
      <c r="D9" s="2">
        <v>4080</v>
      </c>
      <c r="E9" s="2">
        <v>80</v>
      </c>
      <c r="F9" s="2">
        <f>D9*E9</f>
        <v>326400</v>
      </c>
      <c r="G9" s="2">
        <v>100</v>
      </c>
      <c r="H9" s="2">
        <f>D9*G9</f>
        <v>408000</v>
      </c>
      <c r="I9">
        <f>D9*1.1</f>
        <v>4488</v>
      </c>
      <c r="J9">
        <v>100</v>
      </c>
      <c r="K9" s="2">
        <f>I9*J9</f>
        <v>448800</v>
      </c>
      <c r="N9" s="25" t="s">
        <v>381</v>
      </c>
      <c r="O9" s="25"/>
      <c r="P9" s="25"/>
      <c r="Q9" s="25"/>
      <c r="R9" s="25"/>
    </row>
    <row r="10" spans="3:18">
      <c r="C10" t="s">
        <v>382</v>
      </c>
      <c r="D10" s="2">
        <v>810</v>
      </c>
      <c r="E10" s="2">
        <v>80</v>
      </c>
      <c r="F10" s="2">
        <f>D10*E10</f>
        <v>64800</v>
      </c>
      <c r="G10" s="2">
        <v>100</v>
      </c>
      <c r="H10" s="2">
        <f t="shared" ref="H10:H12" si="0">D10*G10</f>
        <v>81000</v>
      </c>
      <c r="I10">
        <f>D10*1.1</f>
        <v>891.00000000000011</v>
      </c>
      <c r="J10">
        <v>100</v>
      </c>
      <c r="K10" s="2">
        <f>I10*J10</f>
        <v>89100.000000000015</v>
      </c>
      <c r="N10" s="25"/>
      <c r="O10" s="25"/>
      <c r="P10" s="25"/>
      <c r="Q10" s="25"/>
      <c r="R10" s="25"/>
    </row>
    <row r="11" spans="3:18">
      <c r="C11" t="s">
        <v>383</v>
      </c>
      <c r="D11" s="2">
        <v>34100</v>
      </c>
      <c r="E11" s="2">
        <v>1</v>
      </c>
      <c r="F11" s="2">
        <f t="shared" ref="F11:F12" si="1">D11*E11</f>
        <v>34100</v>
      </c>
      <c r="G11" s="2">
        <v>1</v>
      </c>
      <c r="H11" s="2">
        <f t="shared" si="0"/>
        <v>34100</v>
      </c>
      <c r="I11" s="2">
        <f>D11*1.1</f>
        <v>37510</v>
      </c>
      <c r="J11">
        <v>1</v>
      </c>
      <c r="K11" s="2">
        <f>I11*J11</f>
        <v>37510</v>
      </c>
      <c r="N11" s="25" t="s">
        <v>384</v>
      </c>
      <c r="O11" s="25"/>
      <c r="P11" s="25"/>
      <c r="Q11" s="25"/>
      <c r="R11" s="25"/>
    </row>
    <row r="12" spans="3:18">
      <c r="C12" t="s">
        <v>385</v>
      </c>
      <c r="D12" s="2">
        <v>810</v>
      </c>
      <c r="E12" s="2">
        <v>420</v>
      </c>
      <c r="F12" s="2">
        <f t="shared" si="1"/>
        <v>340200</v>
      </c>
      <c r="G12" s="2">
        <v>500</v>
      </c>
      <c r="H12" s="2">
        <f t="shared" si="0"/>
        <v>405000</v>
      </c>
      <c r="I12">
        <f>D12*1.1</f>
        <v>891.00000000000011</v>
      </c>
      <c r="J12">
        <v>500</v>
      </c>
      <c r="K12" s="2">
        <f>I12*J12</f>
        <v>445500.00000000006</v>
      </c>
      <c r="N12" s="25"/>
      <c r="O12" s="25"/>
      <c r="P12" s="25"/>
      <c r="Q12" s="25"/>
      <c r="R12" s="25"/>
    </row>
    <row r="13" spans="3:18">
      <c r="C13" t="s">
        <v>156</v>
      </c>
      <c r="D13" s="2"/>
      <c r="E13" s="11"/>
      <c r="F13" s="11">
        <f>SUM(F9:F12)</f>
        <v>765500</v>
      </c>
      <c r="H13" s="3">
        <f>SUM(H9:H12)</f>
        <v>928100</v>
      </c>
      <c r="N13" s="25" t="s">
        <v>386</v>
      </c>
      <c r="O13" s="25"/>
      <c r="P13" s="25"/>
      <c r="Q13" s="25"/>
      <c r="R13" s="25"/>
    </row>
    <row r="14" spans="3:18">
      <c r="C14" t="s">
        <v>126</v>
      </c>
      <c r="D14" s="2"/>
      <c r="E14" s="11"/>
      <c r="F14" s="11">
        <f>F13/12</f>
        <v>63791.666666666664</v>
      </c>
      <c r="H14" s="3">
        <f>H13/12</f>
        <v>77341.666666666672</v>
      </c>
      <c r="N14" s="25" t="s">
        <v>387</v>
      </c>
      <c r="O14" s="25"/>
      <c r="P14" s="25"/>
      <c r="Q14" s="25"/>
      <c r="R14" s="25"/>
    </row>
    <row r="15" spans="3:18">
      <c r="G15" t="s">
        <v>388</v>
      </c>
      <c r="H15" s="1">
        <v>80000</v>
      </c>
      <c r="I15" t="s">
        <v>389</v>
      </c>
      <c r="J15" t="s">
        <v>156</v>
      </c>
      <c r="K15" s="11">
        <f>SUM(K9:K12)</f>
        <v>1020910</v>
      </c>
      <c r="N15" s="25"/>
      <c r="O15" s="25"/>
      <c r="P15" s="25"/>
      <c r="Q15" s="25"/>
      <c r="R15" s="25"/>
    </row>
    <row r="16" spans="3:18">
      <c r="H16" s="1"/>
      <c r="J16" t="s">
        <v>126</v>
      </c>
      <c r="K16" s="11">
        <f>K15/12</f>
        <v>85075.833333333328</v>
      </c>
      <c r="N16" s="25"/>
      <c r="O16" s="25"/>
      <c r="P16" s="25"/>
      <c r="Q16" s="25"/>
      <c r="R16" s="25"/>
    </row>
    <row r="17" spans="1:20">
      <c r="H17" s="1"/>
      <c r="J17" t="s">
        <v>140</v>
      </c>
      <c r="K17" s="11">
        <f>86000</f>
        <v>86000</v>
      </c>
      <c r="N17" s="25"/>
      <c r="O17" s="25"/>
      <c r="P17" s="25"/>
      <c r="Q17" s="25"/>
      <c r="R17" s="25"/>
    </row>
    <row r="18" spans="1:20">
      <c r="H18" s="1"/>
      <c r="K18" s="11"/>
      <c r="N18" s="25"/>
      <c r="O18" s="25"/>
      <c r="P18" s="25"/>
      <c r="Q18" s="25"/>
      <c r="R18" s="25"/>
    </row>
    <row r="19" spans="1:20">
      <c r="E19" t="s">
        <v>192</v>
      </c>
      <c r="G19" t="s">
        <v>124</v>
      </c>
      <c r="N19" s="25"/>
      <c r="O19" s="25"/>
      <c r="P19" s="25"/>
      <c r="Q19" s="25"/>
      <c r="R19" s="25"/>
    </row>
    <row r="20" spans="1:20">
      <c r="D20" t="s">
        <v>378</v>
      </c>
      <c r="E20" t="s">
        <v>153</v>
      </c>
      <c r="F20" t="s">
        <v>172</v>
      </c>
      <c r="G20" t="s">
        <v>378</v>
      </c>
      <c r="H20" t="s">
        <v>153</v>
      </c>
      <c r="I20" t="s">
        <v>172</v>
      </c>
      <c r="N20" s="25"/>
      <c r="O20" s="25"/>
      <c r="P20" s="25"/>
      <c r="Q20" s="25"/>
      <c r="R20" s="25"/>
    </row>
    <row r="21" spans="1:20">
      <c r="C21" t="s">
        <v>382</v>
      </c>
      <c r="D21" s="8">
        <v>840</v>
      </c>
      <c r="E21" s="8">
        <v>500</v>
      </c>
      <c r="F21" s="2">
        <f>D21*E21</f>
        <v>420000</v>
      </c>
      <c r="G21" s="8">
        <v>840</v>
      </c>
      <c r="H21" s="1">
        <v>500</v>
      </c>
      <c r="I21" s="11">
        <f>G21*H21</f>
        <v>420000</v>
      </c>
      <c r="K21" s="11"/>
      <c r="N21" s="25"/>
      <c r="O21" s="25"/>
      <c r="P21" s="25"/>
      <c r="Q21" s="25"/>
      <c r="R21" s="25"/>
    </row>
    <row r="22" spans="1:20">
      <c r="C22" t="s">
        <v>383</v>
      </c>
      <c r="F22" s="2">
        <v>35000</v>
      </c>
      <c r="H22" s="1"/>
      <c r="I22" s="11">
        <v>35000</v>
      </c>
      <c r="K22" s="11"/>
    </row>
    <row r="23" spans="1:20">
      <c r="C23" t="s">
        <v>385</v>
      </c>
      <c r="F23" s="2"/>
      <c r="H23" s="1"/>
      <c r="K23" s="11"/>
    </row>
    <row r="24" spans="1:20">
      <c r="F24" s="2">
        <f>SUM(F21:F23)</f>
        <v>455000</v>
      </c>
      <c r="H24" s="1" t="s">
        <v>156</v>
      </c>
      <c r="I24" s="3">
        <f>SUM(I21:I22)</f>
        <v>455000</v>
      </c>
      <c r="K24" s="11"/>
    </row>
    <row r="25" spans="1:20">
      <c r="F25" s="8"/>
      <c r="H25" s="1" t="s">
        <v>126</v>
      </c>
      <c r="I25">
        <f>I24/12</f>
        <v>37916.666666666664</v>
      </c>
      <c r="K25" s="11"/>
    </row>
    <row r="26" spans="1:20">
      <c r="F26" s="8"/>
      <c r="H26" s="1"/>
      <c r="K26" s="11"/>
    </row>
    <row r="29" spans="1:20">
      <c r="F29" t="s">
        <v>390</v>
      </c>
    </row>
    <row r="30" spans="1:20">
      <c r="A30" t="s">
        <v>124</v>
      </c>
      <c r="B30" t="s">
        <v>391</v>
      </c>
      <c r="D30" t="s">
        <v>202</v>
      </c>
      <c r="E30" t="s">
        <v>159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137</v>
      </c>
      <c r="O30" t="s">
        <v>138</v>
      </c>
      <c r="P30" t="s">
        <v>139</v>
      </c>
    </row>
    <row r="31" spans="1:20">
      <c r="D31" s="24">
        <v>38000</v>
      </c>
      <c r="E31" s="24">
        <v>38000</v>
      </c>
      <c r="F31" s="24">
        <v>38000</v>
      </c>
      <c r="G31" s="24">
        <v>38000</v>
      </c>
      <c r="H31" s="24">
        <v>38000</v>
      </c>
      <c r="I31" s="24">
        <v>38000</v>
      </c>
      <c r="J31" s="24">
        <v>38000</v>
      </c>
      <c r="K31" s="24">
        <v>38000</v>
      </c>
      <c r="L31" s="24">
        <v>38000</v>
      </c>
      <c r="M31" s="24">
        <v>38000</v>
      </c>
      <c r="N31" s="24">
        <v>38000</v>
      </c>
      <c r="O31" s="24">
        <v>38000</v>
      </c>
      <c r="P31" s="3">
        <f>SUM(D31:O31)</f>
        <v>456000</v>
      </c>
      <c r="Q31" t="s">
        <v>392</v>
      </c>
      <c r="T31" s="3">
        <f>P31-P38</f>
        <v>-384000</v>
      </c>
    </row>
    <row r="32" spans="1:20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>SUM(D32:O32)</f>
        <v>0</v>
      </c>
      <c r="Q32" t="s">
        <v>161</v>
      </c>
      <c r="T32" s="3">
        <f>P31-P39</f>
        <v>-91276</v>
      </c>
    </row>
    <row r="37" spans="1:16">
      <c r="A37" t="s">
        <v>123</v>
      </c>
      <c r="B37" t="s">
        <v>391</v>
      </c>
      <c r="D37" t="s">
        <v>202</v>
      </c>
      <c r="E37" t="s">
        <v>159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137</v>
      </c>
      <c r="O37" t="s">
        <v>138</v>
      </c>
      <c r="P37" t="s">
        <v>139</v>
      </c>
    </row>
    <row r="38" spans="1:16">
      <c r="D38" s="24">
        <v>70000</v>
      </c>
      <c r="E38" s="24">
        <v>70000</v>
      </c>
      <c r="F38" s="24">
        <v>70000</v>
      </c>
      <c r="G38" s="24">
        <v>70000</v>
      </c>
      <c r="H38" s="24">
        <v>70000</v>
      </c>
      <c r="I38" s="24">
        <v>70000</v>
      </c>
      <c r="J38" s="24">
        <v>70000</v>
      </c>
      <c r="K38" s="24">
        <v>70000</v>
      </c>
      <c r="L38" s="24">
        <v>70000</v>
      </c>
      <c r="M38" s="24">
        <v>70000</v>
      </c>
      <c r="N38" s="24">
        <v>70000</v>
      </c>
      <c r="O38" s="24">
        <v>70000</v>
      </c>
      <c r="P38" s="3">
        <f>SUM(D38:O38)</f>
        <v>840000</v>
      </c>
    </row>
    <row r="39" spans="1:16">
      <c r="D39" s="2">
        <v>36592</v>
      </c>
      <c r="E39" s="2">
        <v>36592</v>
      </c>
      <c r="F39" s="2">
        <v>36590</v>
      </c>
      <c r="G39" s="2">
        <v>37917</v>
      </c>
      <c r="H39" s="2">
        <v>37917</v>
      </c>
      <c r="I39" s="2">
        <v>37917</v>
      </c>
      <c r="J39" s="2">
        <v>37917</v>
      </c>
      <c r="K39" s="2">
        <v>37917</v>
      </c>
      <c r="L39" s="2">
        <v>37917</v>
      </c>
      <c r="M39" s="2">
        <v>70000</v>
      </c>
      <c r="N39" s="2">
        <v>70000</v>
      </c>
      <c r="O39" s="2">
        <v>70000</v>
      </c>
      <c r="P39" s="2">
        <f>SUM(D39:O39)</f>
        <v>547276</v>
      </c>
    </row>
    <row r="44" spans="1:16">
      <c r="A44" t="s">
        <v>147</v>
      </c>
      <c r="B44" t="s">
        <v>391</v>
      </c>
      <c r="D44" t="s">
        <v>202</v>
      </c>
      <c r="E44" t="s">
        <v>159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  <c r="N44" t="s">
        <v>137</v>
      </c>
      <c r="O44" t="s">
        <v>138</v>
      </c>
    </row>
    <row r="45" spans="1:16">
      <c r="C45" t="s">
        <v>393</v>
      </c>
      <c r="D45" s="8">
        <v>80000</v>
      </c>
      <c r="E45" s="8">
        <v>80000</v>
      </c>
      <c r="F45" s="8">
        <v>80000</v>
      </c>
      <c r="G45" s="8">
        <v>80000</v>
      </c>
      <c r="H45" s="8">
        <v>80000</v>
      </c>
      <c r="I45" s="8">
        <v>80000</v>
      </c>
      <c r="J45" s="8">
        <v>80000</v>
      </c>
      <c r="K45" s="8">
        <v>80000</v>
      </c>
      <c r="L45" s="8">
        <v>80000</v>
      </c>
      <c r="M45" s="8">
        <v>80000</v>
      </c>
      <c r="N45" s="8">
        <v>80000</v>
      </c>
      <c r="O45" s="8">
        <v>80000</v>
      </c>
      <c r="P45" s="8">
        <f>SUM(D45:O45)</f>
        <v>960000</v>
      </c>
    </row>
    <row r="46" spans="1:16">
      <c r="C46" t="s">
        <v>141</v>
      </c>
      <c r="F46" s="1">
        <v>439100</v>
      </c>
      <c r="O46" s="58"/>
      <c r="P46" s="130">
        <f>SUM(D46:O46)</f>
        <v>439100</v>
      </c>
    </row>
    <row r="47" spans="1:16">
      <c r="F47" t="s">
        <v>394</v>
      </c>
      <c r="O47" s="58" t="s">
        <v>395</v>
      </c>
      <c r="P47" s="131">
        <f>P45-P46</f>
        <v>520900</v>
      </c>
    </row>
    <row r="49" spans="3:11">
      <c r="D49" s="10"/>
    </row>
    <row r="52" spans="3:11">
      <c r="C52" t="s">
        <v>374</v>
      </c>
      <c r="D52">
        <v>420</v>
      </c>
    </row>
    <row r="53" spans="3:11">
      <c r="C53" t="s">
        <v>375</v>
      </c>
      <c r="D53">
        <v>500</v>
      </c>
    </row>
    <row r="54" spans="3:11">
      <c r="C54" t="s">
        <v>376</v>
      </c>
      <c r="D54">
        <v>600</v>
      </c>
    </row>
    <row r="56" spans="3:11">
      <c r="E56" t="s">
        <v>377</v>
      </c>
      <c r="G56" t="s">
        <v>328</v>
      </c>
      <c r="I56" t="s">
        <v>192</v>
      </c>
    </row>
    <row r="57" spans="3:11">
      <c r="D57" t="s">
        <v>378</v>
      </c>
      <c r="E57" t="s">
        <v>153</v>
      </c>
      <c r="F57" t="s">
        <v>172</v>
      </c>
      <c r="G57" t="s">
        <v>153</v>
      </c>
      <c r="H57" t="s">
        <v>172</v>
      </c>
      <c r="I57" t="s">
        <v>379</v>
      </c>
      <c r="J57" t="s">
        <v>153</v>
      </c>
      <c r="K57" t="s">
        <v>172</v>
      </c>
    </row>
    <row r="58" spans="3:11">
      <c r="C58" t="s">
        <v>380</v>
      </c>
      <c r="D58" s="2">
        <v>4080</v>
      </c>
      <c r="E58" s="2">
        <v>80</v>
      </c>
      <c r="F58" s="2">
        <f>D58*E58</f>
        <v>326400</v>
      </c>
      <c r="G58" s="2">
        <v>100</v>
      </c>
      <c r="H58" s="2">
        <f>D58*G58</f>
        <v>408000</v>
      </c>
      <c r="I58">
        <f>D58*1.1</f>
        <v>4488</v>
      </c>
      <c r="J58">
        <v>100</v>
      </c>
      <c r="K58" s="2">
        <f>I58*J58</f>
        <v>448800</v>
      </c>
    </row>
    <row r="59" spans="3:11">
      <c r="C59" t="s">
        <v>382</v>
      </c>
      <c r="D59" s="2">
        <v>810</v>
      </c>
      <c r="E59" s="2">
        <v>80</v>
      </c>
      <c r="F59" s="2">
        <f>D59*E59</f>
        <v>64800</v>
      </c>
      <c r="G59" s="2">
        <v>100</v>
      </c>
      <c r="H59" s="2">
        <f>D59*G59</f>
        <v>81000</v>
      </c>
      <c r="I59">
        <f>D59*1.1</f>
        <v>891.00000000000011</v>
      </c>
      <c r="J59">
        <v>100</v>
      </c>
      <c r="K59" s="2">
        <f>I59*J59</f>
        <v>89100.000000000015</v>
      </c>
    </row>
    <row r="60" spans="3:11">
      <c r="C60" t="s">
        <v>383</v>
      </c>
      <c r="D60" s="2">
        <v>34100</v>
      </c>
      <c r="E60" s="2">
        <v>1</v>
      </c>
      <c r="F60" s="2">
        <f>D60*E60</f>
        <v>34100</v>
      </c>
      <c r="G60" s="2">
        <v>1</v>
      </c>
      <c r="H60" s="2">
        <f>D60*G60</f>
        <v>34100</v>
      </c>
      <c r="I60" s="2">
        <f>D60*1.1</f>
        <v>37510</v>
      </c>
      <c r="J60">
        <v>1</v>
      </c>
      <c r="K60" s="2">
        <f>I60*J60</f>
        <v>37510</v>
      </c>
    </row>
    <row r="61" spans="3:11">
      <c r="C61" t="s">
        <v>385</v>
      </c>
      <c r="D61" s="2">
        <v>810</v>
      </c>
      <c r="E61" s="2">
        <v>420</v>
      </c>
      <c r="F61" s="2">
        <f>D61*E61</f>
        <v>340200</v>
      </c>
      <c r="G61" s="2">
        <v>500</v>
      </c>
      <c r="H61" s="2">
        <f>D61*G61</f>
        <v>405000</v>
      </c>
      <c r="I61">
        <f>D61*1.1</f>
        <v>891.00000000000011</v>
      </c>
      <c r="J61">
        <v>500</v>
      </c>
      <c r="K61" s="2">
        <f>I61*J61</f>
        <v>445500.00000000006</v>
      </c>
    </row>
    <row r="62" spans="3:11">
      <c r="C62" t="s">
        <v>156</v>
      </c>
      <c r="D62" s="2"/>
      <c r="E62" s="2"/>
      <c r="F62" s="2">
        <f>SUM(F58:F61)</f>
        <v>765500</v>
      </c>
      <c r="H62" s="3">
        <f>SUM(H58:H61)</f>
        <v>928100</v>
      </c>
    </row>
    <row r="63" spans="3:11">
      <c r="C63" t="s">
        <v>126</v>
      </c>
      <c r="D63" s="2"/>
      <c r="E63" s="2"/>
      <c r="F63" s="2">
        <f>F62/12</f>
        <v>63791.666666666664</v>
      </c>
      <c r="H63" s="3">
        <f>H62/12</f>
        <v>77341.666666666672</v>
      </c>
    </row>
    <row r="64" spans="3:11">
      <c r="G64" t="s">
        <v>388</v>
      </c>
      <c r="H64" s="1">
        <v>80000</v>
      </c>
      <c r="I64" s="25" t="s">
        <v>389</v>
      </c>
      <c r="J64" s="25" t="s">
        <v>156</v>
      </c>
      <c r="K64" s="26">
        <f>SUM(K58:K61)</f>
        <v>1020910</v>
      </c>
    </row>
    <row r="65" spans="8:11">
      <c r="H65" s="1"/>
      <c r="I65" s="25"/>
      <c r="J65" s="25" t="s">
        <v>126</v>
      </c>
      <c r="K65" s="26">
        <f>K64/12</f>
        <v>85075.833333333328</v>
      </c>
    </row>
    <row r="66" spans="8:11">
      <c r="H66" s="1"/>
      <c r="I66" s="25"/>
      <c r="J66" s="25" t="s">
        <v>140</v>
      </c>
      <c r="K66" s="26">
        <f>86000</f>
        <v>86000</v>
      </c>
    </row>
  </sheetData>
  <phoneticPr fontId="6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F2AC-E436-4A3D-8023-4F5215D2FD04}">
  <sheetPr codeName="Sheet5">
    <tabColor rgb="FFFFC000"/>
  </sheetPr>
  <dimension ref="A1:T83"/>
  <sheetViews>
    <sheetView topLeftCell="A22" zoomScale="70" zoomScaleNormal="70" workbookViewId="0">
      <selection activeCell="K20" sqref="K20"/>
    </sheetView>
  </sheetViews>
  <sheetFormatPr defaultRowHeight="18"/>
  <cols>
    <col min="1" max="1" width="21.5" bestFit="1" customWidth="1"/>
    <col min="2" max="2" width="26" bestFit="1" customWidth="1"/>
    <col min="3" max="3" width="8.875" bestFit="1" customWidth="1"/>
    <col min="4" max="4" width="12.875" bestFit="1" customWidth="1"/>
    <col min="5" max="5" width="10.5" bestFit="1" customWidth="1"/>
    <col min="6" max="6" width="11" bestFit="1" customWidth="1"/>
    <col min="7" max="7" width="12.75" bestFit="1" customWidth="1"/>
    <col min="8" max="9" width="9.375" bestFit="1" customWidth="1"/>
    <col min="10" max="15" width="8.875" bestFit="1" customWidth="1"/>
    <col min="16" max="16" width="9.375" bestFit="1" customWidth="1"/>
  </cols>
  <sheetData>
    <row r="1" spans="1:7">
      <c r="A1" t="s">
        <v>396</v>
      </c>
    </row>
    <row r="2" spans="1:7">
      <c r="C2" t="s">
        <v>139</v>
      </c>
    </row>
    <row r="3" spans="1:7">
      <c r="B3" t="s">
        <v>374</v>
      </c>
      <c r="C3">
        <v>500</v>
      </c>
    </row>
    <row r="4" spans="1:7">
      <c r="B4" t="s">
        <v>375</v>
      </c>
      <c r="C4">
        <v>600</v>
      </c>
    </row>
    <row r="6" spans="1:7">
      <c r="D6" t="s">
        <v>153</v>
      </c>
    </row>
    <row r="7" spans="1:7">
      <c r="C7" t="s">
        <v>397</v>
      </c>
      <c r="D7" t="s">
        <v>377</v>
      </c>
      <c r="F7" t="s">
        <v>328</v>
      </c>
    </row>
    <row r="8" spans="1:7">
      <c r="B8" t="s">
        <v>398</v>
      </c>
      <c r="C8" s="2">
        <v>2500</v>
      </c>
      <c r="D8" s="2">
        <v>95</v>
      </c>
      <c r="E8" s="2">
        <f>C8*D8</f>
        <v>237500</v>
      </c>
      <c r="F8" s="2">
        <v>100</v>
      </c>
      <c r="G8" s="2">
        <f>F8*C8</f>
        <v>250000</v>
      </c>
    </row>
    <row r="9" spans="1:7">
      <c r="B9" t="s">
        <v>399</v>
      </c>
      <c r="C9" s="2">
        <v>600</v>
      </c>
      <c r="D9" s="2">
        <v>405</v>
      </c>
      <c r="E9" s="2">
        <f>C9*D9</f>
        <v>243000</v>
      </c>
      <c r="F9" s="2">
        <v>500</v>
      </c>
      <c r="G9" s="2">
        <f>C9*F9</f>
        <v>300000</v>
      </c>
    </row>
    <row r="10" spans="1:7">
      <c r="C10" s="2"/>
      <c r="D10" s="2"/>
      <c r="E10" s="2"/>
      <c r="F10" s="2"/>
      <c r="G10" s="2"/>
    </row>
    <row r="11" spans="1:7">
      <c r="C11" s="2"/>
      <c r="D11" s="2"/>
      <c r="E11" s="2"/>
      <c r="F11" s="2"/>
      <c r="G11" s="2"/>
    </row>
    <row r="12" spans="1:7">
      <c r="B12" t="s">
        <v>156</v>
      </c>
      <c r="C12" s="2"/>
      <c r="D12" s="11"/>
      <c r="E12" s="11">
        <f>SUM(E8:E11)</f>
        <v>480500</v>
      </c>
      <c r="G12" s="3">
        <f>SUM(G8:G11)</f>
        <v>550000</v>
      </c>
    </row>
    <row r="13" spans="1:7">
      <c r="B13" t="s">
        <v>126</v>
      </c>
      <c r="C13" s="2"/>
      <c r="D13" s="11"/>
      <c r="E13" s="11">
        <f>E12/12</f>
        <v>40041.666666666664</v>
      </c>
      <c r="G13" s="3">
        <f>G12/12</f>
        <v>45833.333333333336</v>
      </c>
    </row>
    <row r="14" spans="1:7">
      <c r="F14" s="25" t="s">
        <v>388</v>
      </c>
      <c r="G14" s="27">
        <v>46000</v>
      </c>
    </row>
    <row r="17" spans="1:9">
      <c r="A17" t="s">
        <v>400</v>
      </c>
      <c r="C17" t="s">
        <v>147</v>
      </c>
      <c r="F17" t="s">
        <v>123</v>
      </c>
    </row>
    <row r="18" spans="1:9">
      <c r="B18" t="s">
        <v>401</v>
      </c>
      <c r="E18" s="1">
        <v>50000</v>
      </c>
      <c r="G18" s="2"/>
      <c r="H18" s="2">
        <v>50000</v>
      </c>
    </row>
    <row r="19" spans="1:9">
      <c r="B19" t="s">
        <v>402</v>
      </c>
      <c r="C19" s="1"/>
      <c r="F19" s="2"/>
      <c r="G19" s="2"/>
      <c r="H19" s="2"/>
    </row>
    <row r="20" spans="1:9">
      <c r="C20" s="1" t="s">
        <v>397</v>
      </c>
      <c r="D20" t="s">
        <v>153</v>
      </c>
      <c r="F20" s="1" t="s">
        <v>397</v>
      </c>
      <c r="G20" t="s">
        <v>153</v>
      </c>
      <c r="H20" s="2"/>
    </row>
    <row r="21" spans="1:9">
      <c r="B21" t="s">
        <v>403</v>
      </c>
      <c r="C21" s="2">
        <v>2400</v>
      </c>
      <c r="D21" s="2">
        <v>600</v>
      </c>
      <c r="E21" s="2">
        <f>C21*D21</f>
        <v>1440000</v>
      </c>
      <c r="F21" s="2">
        <v>2400</v>
      </c>
      <c r="G21" s="2">
        <v>650</v>
      </c>
      <c r="H21" s="2">
        <f>F21*G21</f>
        <v>1560000</v>
      </c>
    </row>
    <row r="22" spans="1:9">
      <c r="F22" s="2"/>
      <c r="G22" s="2"/>
      <c r="H22" s="2"/>
    </row>
    <row r="23" spans="1:9">
      <c r="D23" t="s">
        <v>139</v>
      </c>
      <c r="E23" s="1">
        <f>E18+E21</f>
        <v>1490000</v>
      </c>
      <c r="F23" s="2"/>
      <c r="G23" s="2" t="s">
        <v>139</v>
      </c>
      <c r="H23" s="2">
        <f>H21+H18</f>
        <v>1610000</v>
      </c>
    </row>
    <row r="24" spans="1:9">
      <c r="D24" t="s">
        <v>310</v>
      </c>
      <c r="E24" s="11">
        <v>2000000</v>
      </c>
      <c r="F24" s="2"/>
      <c r="G24" s="11" t="s">
        <v>389</v>
      </c>
      <c r="H24" s="11">
        <v>2000000</v>
      </c>
      <c r="I24" s="11">
        <f>I25*12</f>
        <v>2040000</v>
      </c>
    </row>
    <row r="25" spans="1:9">
      <c r="D25" t="s">
        <v>126</v>
      </c>
      <c r="E25">
        <f>E24/12</f>
        <v>166666.66666666666</v>
      </c>
      <c r="F25" s="2"/>
      <c r="G25" s="11" t="s">
        <v>126</v>
      </c>
      <c r="H25" s="11">
        <f>H24/12</f>
        <v>166666.66666666666</v>
      </c>
      <c r="I25" s="11">
        <v>170000</v>
      </c>
    </row>
    <row r="26" spans="1:9">
      <c r="F26" s="2"/>
      <c r="G26" s="11"/>
      <c r="H26" s="11"/>
      <c r="I26" s="11"/>
    </row>
    <row r="27" spans="1:9">
      <c r="A27" t="s">
        <v>404</v>
      </c>
      <c r="C27" t="s">
        <v>329</v>
      </c>
      <c r="F27" s="2"/>
      <c r="G27" s="11"/>
      <c r="H27" s="11"/>
      <c r="I27" s="11"/>
    </row>
    <row r="28" spans="1:9">
      <c r="A28" t="s">
        <v>405</v>
      </c>
      <c r="C28" s="1" t="s">
        <v>397</v>
      </c>
      <c r="D28" t="s">
        <v>153</v>
      </c>
      <c r="E28" t="s">
        <v>406</v>
      </c>
      <c r="F28" s="2"/>
      <c r="G28" s="11"/>
      <c r="H28" s="11"/>
      <c r="I28" s="11"/>
    </row>
    <row r="29" spans="1:9">
      <c r="C29">
        <v>640</v>
      </c>
      <c r="D29">
        <v>405</v>
      </c>
      <c r="E29">
        <v>50</v>
      </c>
      <c r="F29" s="2"/>
      <c r="G29" s="11"/>
      <c r="H29" s="11"/>
      <c r="I29" s="11"/>
    </row>
    <row r="30" spans="1:9">
      <c r="D30" t="s">
        <v>139</v>
      </c>
      <c r="E30" s="2">
        <f>C29*(D29+E29)</f>
        <v>291200</v>
      </c>
      <c r="F30" s="2"/>
      <c r="G30" s="11"/>
      <c r="H30" s="11"/>
      <c r="I30" s="11"/>
    </row>
    <row r="31" spans="1:9">
      <c r="D31" t="s">
        <v>126</v>
      </c>
      <c r="E31" s="2">
        <f>E30/12</f>
        <v>24266.666666666668</v>
      </c>
      <c r="F31" s="2"/>
      <c r="G31" s="11"/>
      <c r="H31" s="11"/>
      <c r="I31" s="11"/>
    </row>
    <row r="32" spans="1:9">
      <c r="F32" s="2"/>
      <c r="G32" s="11"/>
      <c r="H32" s="11"/>
      <c r="I32" s="11"/>
    </row>
    <row r="33" spans="1:20">
      <c r="F33" s="2"/>
      <c r="G33" s="11"/>
      <c r="H33" s="11"/>
      <c r="I33" s="11"/>
    </row>
    <row r="34" spans="1:20">
      <c r="H34" t="s">
        <v>308</v>
      </c>
      <c r="I34" t="s">
        <v>407</v>
      </c>
    </row>
    <row r="35" spans="1:20">
      <c r="A35" t="s">
        <v>124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 spans="1:20">
      <c r="A36" t="s">
        <v>408</v>
      </c>
      <c r="B36" s="25" t="s">
        <v>140</v>
      </c>
      <c r="C36" s="25"/>
      <c r="D36" s="26">
        <v>21600</v>
      </c>
      <c r="E36" s="26">
        <v>21600</v>
      </c>
      <c r="F36" s="26">
        <v>21600</v>
      </c>
      <c r="G36" s="26">
        <v>21600</v>
      </c>
      <c r="H36" s="26">
        <v>21600</v>
      </c>
      <c r="I36" s="26">
        <v>24300</v>
      </c>
      <c r="J36" s="26">
        <v>24300</v>
      </c>
      <c r="K36" s="26">
        <v>24300</v>
      </c>
      <c r="L36" s="26">
        <v>24300</v>
      </c>
      <c r="M36" s="26">
        <v>24300</v>
      </c>
      <c r="N36" s="26">
        <v>24300</v>
      </c>
      <c r="O36" s="26">
        <v>24300</v>
      </c>
      <c r="P36" s="26">
        <f>SUM(D36:O36)</f>
        <v>278100</v>
      </c>
      <c r="Q36" t="s">
        <v>409</v>
      </c>
      <c r="T36" s="3">
        <f>P36-P43</f>
        <v>-801900</v>
      </c>
    </row>
    <row r="37" spans="1:20">
      <c r="B37" t="s">
        <v>141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>
        <f>SUM(D37:O37)</f>
        <v>0</v>
      </c>
      <c r="Q37" t="s">
        <v>410</v>
      </c>
      <c r="T37" s="3">
        <f>P36-P44</f>
        <v>-186300</v>
      </c>
    </row>
    <row r="38" spans="1:20">
      <c r="B38" t="s">
        <v>149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42" spans="1:20">
      <c r="A42" t="s">
        <v>123</v>
      </c>
      <c r="D42" t="s">
        <v>127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137</v>
      </c>
      <c r="O42" t="s">
        <v>138</v>
      </c>
    </row>
    <row r="43" spans="1:20">
      <c r="A43" t="s">
        <v>408</v>
      </c>
      <c r="B43" t="s">
        <v>140</v>
      </c>
      <c r="D43" s="11">
        <v>90000</v>
      </c>
      <c r="E43" s="11">
        <v>90000</v>
      </c>
      <c r="F43" s="11">
        <v>90000</v>
      </c>
      <c r="G43" s="11">
        <v>90000</v>
      </c>
      <c r="H43" s="11">
        <v>90000</v>
      </c>
      <c r="I43" s="11">
        <v>90000</v>
      </c>
      <c r="J43" s="11">
        <v>90000</v>
      </c>
      <c r="K43" s="11">
        <v>90000</v>
      </c>
      <c r="L43" s="11">
        <v>90000</v>
      </c>
      <c r="M43" s="11">
        <v>90000</v>
      </c>
      <c r="N43" s="11">
        <v>90000</v>
      </c>
      <c r="O43" s="11">
        <v>90000</v>
      </c>
      <c r="P43" s="11">
        <f>SUM(D43:O43)</f>
        <v>1080000</v>
      </c>
    </row>
    <row r="44" spans="1:20">
      <c r="B44" t="s">
        <v>141</v>
      </c>
      <c r="D44" s="2">
        <v>21600</v>
      </c>
      <c r="E44" s="2">
        <v>21600</v>
      </c>
      <c r="F44" s="2">
        <v>21600</v>
      </c>
      <c r="G44" s="2">
        <v>21600</v>
      </c>
      <c r="H44" s="2">
        <v>21600</v>
      </c>
      <c r="I44" s="2">
        <v>21600</v>
      </c>
      <c r="J44" s="2">
        <v>21600</v>
      </c>
      <c r="K44" s="2">
        <v>21600</v>
      </c>
      <c r="L44" s="2">
        <v>21600</v>
      </c>
      <c r="M44" s="2">
        <v>90000</v>
      </c>
      <c r="N44" s="2">
        <v>90000</v>
      </c>
      <c r="O44" s="2">
        <v>90000</v>
      </c>
      <c r="P44" s="3">
        <f>SUM(D44:O44)</f>
        <v>464400</v>
      </c>
    </row>
    <row r="45" spans="1:20">
      <c r="B45" t="s">
        <v>149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20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20" ht="18.600000000000001" thickBot="1"/>
    <row r="48" spans="1:20">
      <c r="A48" s="73" t="s">
        <v>147</v>
      </c>
      <c r="B48" s="74"/>
      <c r="C48" s="74"/>
      <c r="D48" s="74" t="s">
        <v>127</v>
      </c>
      <c r="E48" s="74" t="s">
        <v>128</v>
      </c>
      <c r="F48" s="74" t="s">
        <v>129</v>
      </c>
      <c r="G48" s="74" t="s">
        <v>130</v>
      </c>
      <c r="H48" s="74" t="s">
        <v>131</v>
      </c>
      <c r="I48" s="74" t="s">
        <v>132</v>
      </c>
      <c r="J48" s="74" t="s">
        <v>133</v>
      </c>
      <c r="K48" s="74" t="s">
        <v>134</v>
      </c>
      <c r="L48" s="74" t="s">
        <v>135</v>
      </c>
      <c r="M48" s="74" t="s">
        <v>136</v>
      </c>
      <c r="N48" s="74" t="s">
        <v>137</v>
      </c>
      <c r="O48" s="74" t="s">
        <v>138</v>
      </c>
      <c r="P48" s="75"/>
    </row>
    <row r="49" spans="1:16">
      <c r="A49" s="76"/>
      <c r="B49" t="s">
        <v>140</v>
      </c>
      <c r="D49" s="31">
        <v>170000</v>
      </c>
      <c r="E49" s="31">
        <v>170000</v>
      </c>
      <c r="F49" s="31">
        <v>170000</v>
      </c>
      <c r="G49" s="31">
        <v>170000</v>
      </c>
      <c r="H49" s="31">
        <v>170000</v>
      </c>
      <c r="I49" s="31">
        <v>170000</v>
      </c>
      <c r="J49" s="31">
        <v>170000</v>
      </c>
      <c r="K49" s="31">
        <v>170000</v>
      </c>
      <c r="L49" s="31">
        <v>170000</v>
      </c>
      <c r="M49" s="31">
        <v>170000</v>
      </c>
      <c r="N49" s="31">
        <v>170000</v>
      </c>
      <c r="O49" s="31">
        <v>170000</v>
      </c>
      <c r="P49" s="77">
        <f>SUM(D49:O49)</f>
        <v>2040000</v>
      </c>
    </row>
    <row r="50" spans="1:16">
      <c r="A50" s="76"/>
      <c r="B50" t="s">
        <v>141</v>
      </c>
      <c r="C50">
        <v>500</v>
      </c>
      <c r="D50" s="31">
        <v>40042</v>
      </c>
      <c r="E50" s="31">
        <v>40042</v>
      </c>
      <c r="F50" s="31">
        <v>40042</v>
      </c>
      <c r="G50" s="31">
        <v>40042</v>
      </c>
      <c r="H50" s="31">
        <v>40042</v>
      </c>
      <c r="I50">
        <v>21600</v>
      </c>
      <c r="J50">
        <v>21600</v>
      </c>
      <c r="K50">
        <v>21600</v>
      </c>
      <c r="L50">
        <v>21600</v>
      </c>
      <c r="M50">
        <v>21600</v>
      </c>
      <c r="N50">
        <v>21600</v>
      </c>
      <c r="O50">
        <v>21600</v>
      </c>
      <c r="P50" s="89"/>
    </row>
    <row r="51" spans="1:16">
      <c r="A51" s="76"/>
      <c r="B51" t="s">
        <v>149</v>
      </c>
      <c r="D51" s="3">
        <f>D$49-D$50</f>
        <v>129958</v>
      </c>
      <c r="E51" s="3">
        <f t="shared" ref="E51:O51" si="0">E$49-E$50</f>
        <v>129958</v>
      </c>
      <c r="F51" s="3">
        <f t="shared" si="0"/>
        <v>129958</v>
      </c>
      <c r="G51" s="3">
        <f t="shared" si="0"/>
        <v>129958</v>
      </c>
      <c r="H51" s="3">
        <f t="shared" si="0"/>
        <v>129958</v>
      </c>
      <c r="I51" s="3">
        <f t="shared" si="0"/>
        <v>148400</v>
      </c>
      <c r="J51" s="3">
        <f t="shared" si="0"/>
        <v>148400</v>
      </c>
      <c r="K51" s="3">
        <f t="shared" si="0"/>
        <v>148400</v>
      </c>
      <c r="L51" s="3">
        <f t="shared" si="0"/>
        <v>148400</v>
      </c>
      <c r="M51" s="3">
        <f t="shared" si="0"/>
        <v>148400</v>
      </c>
      <c r="N51" s="3">
        <f t="shared" si="0"/>
        <v>148400</v>
      </c>
      <c r="O51" s="3">
        <f t="shared" si="0"/>
        <v>148400</v>
      </c>
      <c r="P51" s="90">
        <f>SUM(D51:O51)</f>
        <v>1688590</v>
      </c>
    </row>
    <row r="52" spans="1:16">
      <c r="A52" s="76"/>
      <c r="P52" s="90">
        <f>P51-P49</f>
        <v>-351410</v>
      </c>
    </row>
    <row r="53" spans="1:16">
      <c r="A53" s="76"/>
      <c r="P53" s="89"/>
    </row>
    <row r="54" spans="1:16">
      <c r="A54" s="76"/>
      <c r="P54" s="89"/>
    </row>
    <row r="55" spans="1:16">
      <c r="A55" s="76"/>
      <c r="B55" t="s">
        <v>411</v>
      </c>
      <c r="D55">
        <v>480500</v>
      </c>
      <c r="E55">
        <f>D55/12</f>
        <v>40041.666666666664</v>
      </c>
      <c r="P55" s="89"/>
    </row>
    <row r="56" spans="1:16" ht="18.600000000000001" thickBot="1">
      <c r="A56" s="78"/>
      <c r="B56" s="79" t="s">
        <v>412</v>
      </c>
      <c r="C56" s="79"/>
      <c r="D56" s="79">
        <v>259200</v>
      </c>
      <c r="E56" s="79">
        <f>D56/12</f>
        <v>21600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83"/>
    </row>
    <row r="58" spans="1:16">
      <c r="A58" t="s">
        <v>400</v>
      </c>
      <c r="C58" t="s">
        <v>147</v>
      </c>
      <c r="F58" t="s">
        <v>123</v>
      </c>
    </row>
    <row r="59" spans="1:16">
      <c r="B59" t="s">
        <v>401</v>
      </c>
      <c r="E59" s="1">
        <v>50000</v>
      </c>
      <c r="G59" s="2"/>
      <c r="H59" s="2">
        <v>50000</v>
      </c>
    </row>
    <row r="60" spans="1:16">
      <c r="B60" t="s">
        <v>402</v>
      </c>
      <c r="C60" s="1"/>
      <c r="F60" s="2"/>
      <c r="G60" s="2"/>
      <c r="H60" s="2"/>
    </row>
    <row r="61" spans="1:16">
      <c r="C61" s="1" t="s">
        <v>397</v>
      </c>
      <c r="D61" t="s">
        <v>153</v>
      </c>
      <c r="F61" s="1" t="s">
        <v>397</v>
      </c>
      <c r="G61" t="s">
        <v>153</v>
      </c>
      <c r="H61" s="2"/>
    </row>
    <row r="62" spans="1:16">
      <c r="B62" t="s">
        <v>403</v>
      </c>
      <c r="C62" s="2">
        <v>2400</v>
      </c>
      <c r="D62" s="2">
        <v>600</v>
      </c>
      <c r="E62" s="2">
        <f>C62*D62</f>
        <v>1440000</v>
      </c>
      <c r="F62" s="2">
        <v>2400</v>
      </c>
      <c r="G62" s="2">
        <v>600</v>
      </c>
      <c r="H62" s="2">
        <f>F62*G62</f>
        <v>1440000</v>
      </c>
    </row>
    <row r="63" spans="1:16">
      <c r="F63" s="2"/>
      <c r="G63" s="2"/>
      <c r="H63" s="2"/>
    </row>
    <row r="64" spans="1:16">
      <c r="D64" t="s">
        <v>139</v>
      </c>
      <c r="E64" s="1">
        <f>E59+E62</f>
        <v>1490000</v>
      </c>
      <c r="F64" s="2"/>
      <c r="G64" s="2" t="s">
        <v>139</v>
      </c>
      <c r="H64" s="2">
        <f>H62+H59</f>
        <v>1490000</v>
      </c>
    </row>
    <row r="65" spans="1:16">
      <c r="D65" t="s">
        <v>310</v>
      </c>
      <c r="E65" s="2">
        <v>2000000</v>
      </c>
      <c r="F65" s="2"/>
      <c r="G65" s="124" t="s">
        <v>389</v>
      </c>
      <c r="H65" s="2">
        <v>2000000</v>
      </c>
      <c r="I65" s="124">
        <f>I66*12</f>
        <v>2040000</v>
      </c>
    </row>
    <row r="66" spans="1:16">
      <c r="D66" t="s">
        <v>126</v>
      </c>
      <c r="E66" s="2">
        <f>E65/12</f>
        <v>166666.66666666666</v>
      </c>
      <c r="F66" s="2"/>
      <c r="G66" s="2" t="s">
        <v>126</v>
      </c>
      <c r="H66" s="2">
        <f>H65/12</f>
        <v>166666.66666666666</v>
      </c>
      <c r="I66" s="124">
        <v>170000</v>
      </c>
    </row>
    <row r="69" spans="1:16">
      <c r="A69" t="s">
        <v>123</v>
      </c>
      <c r="D69" t="s">
        <v>127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136</v>
      </c>
      <c r="N69" t="s">
        <v>137</v>
      </c>
      <c r="O69" t="s">
        <v>138</v>
      </c>
    </row>
    <row r="70" spans="1:16">
      <c r="A70" t="s">
        <v>408</v>
      </c>
      <c r="B70" s="25" t="s">
        <v>140</v>
      </c>
      <c r="C70" s="25"/>
      <c r="D70" s="26">
        <f t="shared" ref="D70:O70" si="1">$I$25</f>
        <v>170000</v>
      </c>
      <c r="E70" s="26">
        <f t="shared" si="1"/>
        <v>170000</v>
      </c>
      <c r="F70" s="26">
        <f t="shared" si="1"/>
        <v>170000</v>
      </c>
      <c r="G70" s="26">
        <f t="shared" si="1"/>
        <v>170000</v>
      </c>
      <c r="H70" s="26">
        <f t="shared" si="1"/>
        <v>170000</v>
      </c>
      <c r="I70" s="26">
        <f t="shared" si="1"/>
        <v>170000</v>
      </c>
      <c r="J70" s="26">
        <f t="shared" si="1"/>
        <v>170000</v>
      </c>
      <c r="K70" s="26">
        <f t="shared" si="1"/>
        <v>170000</v>
      </c>
      <c r="L70" s="26">
        <f t="shared" si="1"/>
        <v>170000</v>
      </c>
      <c r="M70" s="26">
        <f t="shared" si="1"/>
        <v>170000</v>
      </c>
      <c r="N70" s="26">
        <f t="shared" si="1"/>
        <v>170000</v>
      </c>
      <c r="O70" s="26">
        <f t="shared" si="1"/>
        <v>170000</v>
      </c>
      <c r="P70" s="26">
        <f>SUM(D70:O70)</f>
        <v>2040000</v>
      </c>
    </row>
    <row r="71" spans="1:16">
      <c r="B71" t="s">
        <v>141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>
        <f>SUM(D71:O71)</f>
        <v>0</v>
      </c>
    </row>
    <row r="72" spans="1:16">
      <c r="B72" t="s">
        <v>149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8.600000000000001" thickBot="1"/>
    <row r="75" spans="1:16">
      <c r="A75" s="73" t="s">
        <v>147</v>
      </c>
      <c r="B75" s="74"/>
      <c r="C75" s="74"/>
      <c r="D75" s="74" t="s">
        <v>127</v>
      </c>
      <c r="E75" s="74" t="s">
        <v>128</v>
      </c>
      <c r="F75" s="74" t="s">
        <v>129</v>
      </c>
      <c r="G75" s="74" t="s">
        <v>130</v>
      </c>
      <c r="H75" s="74" t="s">
        <v>131</v>
      </c>
      <c r="I75" s="74" t="s">
        <v>132</v>
      </c>
      <c r="J75" s="74" t="s">
        <v>133</v>
      </c>
      <c r="K75" s="74" t="s">
        <v>134</v>
      </c>
      <c r="L75" s="74" t="s">
        <v>135</v>
      </c>
      <c r="M75" s="74" t="s">
        <v>136</v>
      </c>
      <c r="N75" s="74" t="s">
        <v>137</v>
      </c>
      <c r="O75" s="74" t="s">
        <v>138</v>
      </c>
      <c r="P75" s="75"/>
    </row>
    <row r="76" spans="1:16">
      <c r="A76" s="76"/>
      <c r="B76" t="s">
        <v>140</v>
      </c>
      <c r="D76" s="2">
        <v>170000</v>
      </c>
      <c r="E76" s="2">
        <v>170000</v>
      </c>
      <c r="F76" s="2">
        <v>170000</v>
      </c>
      <c r="G76" s="2">
        <v>170000</v>
      </c>
      <c r="H76" s="2">
        <v>170000</v>
      </c>
      <c r="I76" s="2">
        <v>170000</v>
      </c>
      <c r="J76" s="2">
        <v>170000</v>
      </c>
      <c r="K76" s="2">
        <v>170000</v>
      </c>
      <c r="L76" s="2">
        <v>170000</v>
      </c>
      <c r="M76" s="2">
        <v>170000</v>
      </c>
      <c r="N76" s="2">
        <v>170000</v>
      </c>
      <c r="O76" s="2">
        <v>170000</v>
      </c>
      <c r="P76" s="77">
        <f>SUM(D76:O76)</f>
        <v>2040000</v>
      </c>
    </row>
    <row r="77" spans="1:16">
      <c r="A77" s="76"/>
      <c r="B77" t="s">
        <v>141</v>
      </c>
      <c r="C77">
        <v>500</v>
      </c>
      <c r="D77" s="2">
        <v>40042</v>
      </c>
      <c r="E77" s="2">
        <v>40042</v>
      </c>
      <c r="F77" s="2">
        <v>40042</v>
      </c>
      <c r="G77" s="2">
        <v>40042</v>
      </c>
      <c r="H77" s="2">
        <v>40042</v>
      </c>
      <c r="I77">
        <v>21600</v>
      </c>
      <c r="J77">
        <v>21600</v>
      </c>
      <c r="K77">
        <v>21600</v>
      </c>
      <c r="L77">
        <v>21600</v>
      </c>
      <c r="M77">
        <v>21600</v>
      </c>
      <c r="N77">
        <v>21600</v>
      </c>
      <c r="O77">
        <v>21600</v>
      </c>
      <c r="P77" s="89"/>
    </row>
    <row r="78" spans="1:16">
      <c r="A78" s="76"/>
      <c r="B78" t="s">
        <v>149</v>
      </c>
      <c r="D78" s="3">
        <f t="shared" ref="D78:O78" si="2">D$49-D$50</f>
        <v>129958</v>
      </c>
      <c r="E78" s="3">
        <f t="shared" si="2"/>
        <v>129958</v>
      </c>
      <c r="F78" s="3">
        <f t="shared" si="2"/>
        <v>129958</v>
      </c>
      <c r="G78" s="3">
        <f t="shared" si="2"/>
        <v>129958</v>
      </c>
      <c r="H78" s="3">
        <f t="shared" si="2"/>
        <v>129958</v>
      </c>
      <c r="I78" s="3">
        <f t="shared" si="2"/>
        <v>148400</v>
      </c>
      <c r="J78" s="3">
        <f t="shared" si="2"/>
        <v>148400</v>
      </c>
      <c r="K78" s="3">
        <f t="shared" si="2"/>
        <v>148400</v>
      </c>
      <c r="L78" s="3">
        <f t="shared" si="2"/>
        <v>148400</v>
      </c>
      <c r="M78" s="3">
        <f t="shared" si="2"/>
        <v>148400</v>
      </c>
      <c r="N78" s="3">
        <f t="shared" si="2"/>
        <v>148400</v>
      </c>
      <c r="O78" s="3">
        <f t="shared" si="2"/>
        <v>148400</v>
      </c>
      <c r="P78" s="90">
        <f>SUM(D78:O78)</f>
        <v>1688590</v>
      </c>
    </row>
    <row r="79" spans="1:16">
      <c r="A79" s="76"/>
      <c r="P79" s="90">
        <f>P78-P76</f>
        <v>-351410</v>
      </c>
    </row>
    <row r="80" spans="1:16">
      <c r="A80" s="76"/>
      <c r="P80" s="89"/>
    </row>
    <row r="81" spans="1:16">
      <c r="A81" s="76"/>
      <c r="P81" s="89"/>
    </row>
    <row r="82" spans="1:16">
      <c r="A82" s="76"/>
      <c r="B82" t="s">
        <v>411</v>
      </c>
      <c r="D82">
        <v>480500</v>
      </c>
      <c r="E82">
        <f>D82/12</f>
        <v>40041.666666666664</v>
      </c>
      <c r="P82" s="89"/>
    </row>
    <row r="83" spans="1:16" ht="18.600000000000001" thickBot="1">
      <c r="A83" s="78"/>
      <c r="B83" s="79" t="s">
        <v>412</v>
      </c>
      <c r="C83" s="79"/>
      <c r="D83" s="79">
        <v>259200</v>
      </c>
      <c r="E83" s="79">
        <f>D83/12</f>
        <v>21600</v>
      </c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83"/>
    </row>
  </sheetData>
  <phoneticPr fontId="6"/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3166-0F3D-4A0C-9EC3-DD975DA1AE71}">
  <sheetPr codeName="Sheet47">
    <tabColor rgb="FFFFC000"/>
  </sheetPr>
  <dimension ref="A1:O22"/>
  <sheetViews>
    <sheetView zoomScale="85" zoomScaleNormal="85" workbookViewId="0">
      <selection activeCell="K20" sqref="K20"/>
    </sheetView>
  </sheetViews>
  <sheetFormatPr defaultRowHeight="18"/>
  <cols>
    <col min="1" max="1" width="23.87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1" spans="1:15">
      <c r="C1" t="s">
        <v>294</v>
      </c>
      <c r="D1" s="114" t="s">
        <v>413</v>
      </c>
    </row>
    <row r="4" spans="1:15">
      <c r="C4" t="s">
        <v>312</v>
      </c>
    </row>
    <row r="5" spans="1:15">
      <c r="C5" t="s">
        <v>299</v>
      </c>
    </row>
    <row r="7" spans="1:15">
      <c r="C7" t="s">
        <v>328</v>
      </c>
      <c r="G7" t="s">
        <v>123</v>
      </c>
      <c r="J7" t="s">
        <v>124</v>
      </c>
    </row>
    <row r="8" spans="1:15">
      <c r="C8" t="s">
        <v>156</v>
      </c>
      <c r="D8" t="s">
        <v>188</v>
      </c>
      <c r="G8" t="s">
        <v>156</v>
      </c>
      <c r="H8" t="s">
        <v>188</v>
      </c>
      <c r="J8" t="s">
        <v>156</v>
      </c>
      <c r="K8" t="s">
        <v>188</v>
      </c>
    </row>
    <row r="9" spans="1:15">
      <c r="C9" s="2"/>
      <c r="D9" s="2">
        <v>3600</v>
      </c>
      <c r="F9" s="2"/>
      <c r="G9" s="2"/>
      <c r="H9" s="2">
        <v>3600</v>
      </c>
      <c r="I9" s="2"/>
      <c r="J9" s="2"/>
      <c r="K9" s="2">
        <v>3600</v>
      </c>
      <c r="L9" s="2"/>
      <c r="M9" s="2"/>
      <c r="N9" s="2"/>
    </row>
    <row r="11" spans="1:15">
      <c r="D11" s="2"/>
      <c r="F11" s="2"/>
      <c r="H11" s="2"/>
      <c r="J11" s="2"/>
    </row>
    <row r="12" spans="1:15">
      <c r="E12" s="2"/>
      <c r="G12" s="25" t="s">
        <v>126</v>
      </c>
      <c r="H12" s="26">
        <f>H9</f>
        <v>3600</v>
      </c>
    </row>
    <row r="13" spans="1:15">
      <c r="G13" s="25" t="s">
        <v>156</v>
      </c>
      <c r="H13" s="26">
        <f>H12*12</f>
        <v>43200</v>
      </c>
    </row>
    <row r="14" spans="1:15">
      <c r="A14" t="s">
        <v>124</v>
      </c>
    </row>
    <row r="15" spans="1:15">
      <c r="A15" t="s">
        <v>414</v>
      </c>
      <c r="C15" t="s">
        <v>127</v>
      </c>
      <c r="D15" t="s">
        <v>159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</row>
    <row r="16" spans="1:15">
      <c r="B16" t="s">
        <v>140</v>
      </c>
      <c r="C16" s="26">
        <f t="shared" ref="C16:N16" si="0">$H$12</f>
        <v>3600</v>
      </c>
      <c r="D16" s="26">
        <f t="shared" si="0"/>
        <v>3600</v>
      </c>
      <c r="E16" s="26">
        <f t="shared" si="0"/>
        <v>3600</v>
      </c>
      <c r="F16" s="26">
        <f t="shared" si="0"/>
        <v>3600</v>
      </c>
      <c r="G16" s="26">
        <f t="shared" si="0"/>
        <v>3600</v>
      </c>
      <c r="H16" s="26">
        <f t="shared" si="0"/>
        <v>3600</v>
      </c>
      <c r="I16" s="26">
        <f t="shared" si="0"/>
        <v>3600</v>
      </c>
      <c r="J16" s="26">
        <f t="shared" si="0"/>
        <v>3600</v>
      </c>
      <c r="K16" s="26">
        <f t="shared" si="0"/>
        <v>3600</v>
      </c>
      <c r="L16" s="26">
        <f t="shared" si="0"/>
        <v>3600</v>
      </c>
      <c r="M16" s="26">
        <f t="shared" si="0"/>
        <v>3600</v>
      </c>
      <c r="N16" s="26">
        <f t="shared" si="0"/>
        <v>3600</v>
      </c>
      <c r="O16" s="3">
        <f>SUM(C16:N16)</f>
        <v>43200</v>
      </c>
    </row>
    <row r="17" spans="1:15">
      <c r="C17" s="2">
        <v>3600</v>
      </c>
      <c r="D17" s="2">
        <v>3600</v>
      </c>
      <c r="E17" s="2">
        <v>3600</v>
      </c>
      <c r="F17" s="2">
        <v>3600</v>
      </c>
      <c r="G17" s="2">
        <v>3600</v>
      </c>
      <c r="H17" s="2">
        <v>3600</v>
      </c>
      <c r="I17" s="2">
        <v>3600</v>
      </c>
      <c r="J17" s="2">
        <v>3600</v>
      </c>
      <c r="K17" s="2">
        <v>3600</v>
      </c>
      <c r="L17" s="2">
        <v>3600</v>
      </c>
      <c r="M17" s="2">
        <v>3600</v>
      </c>
      <c r="N17" s="2">
        <v>3600</v>
      </c>
      <c r="O17" s="3"/>
    </row>
    <row r="18" spans="1:15">
      <c r="A18" t="s">
        <v>123</v>
      </c>
    </row>
    <row r="19" spans="1:15">
      <c r="A19" t="s">
        <v>414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 t="shared" ref="C20:N20" si="1">$H$12</f>
        <v>3600</v>
      </c>
      <c r="D20" s="11">
        <f t="shared" si="1"/>
        <v>3600</v>
      </c>
      <c r="E20" s="11">
        <f t="shared" si="1"/>
        <v>3600</v>
      </c>
      <c r="F20" s="11">
        <f t="shared" si="1"/>
        <v>3600</v>
      </c>
      <c r="G20" s="11">
        <f t="shared" si="1"/>
        <v>3600</v>
      </c>
      <c r="H20" s="11">
        <f t="shared" si="1"/>
        <v>3600</v>
      </c>
      <c r="I20" s="11">
        <f t="shared" si="1"/>
        <v>3600</v>
      </c>
      <c r="J20" s="11">
        <f t="shared" si="1"/>
        <v>3600</v>
      </c>
      <c r="K20" s="11">
        <f t="shared" si="1"/>
        <v>3600</v>
      </c>
      <c r="L20" s="11">
        <f t="shared" si="1"/>
        <v>3600</v>
      </c>
      <c r="M20" s="11">
        <f t="shared" si="1"/>
        <v>3600</v>
      </c>
      <c r="N20" s="11">
        <f t="shared" si="1"/>
        <v>3600</v>
      </c>
      <c r="O20" s="3">
        <f>SUM(C20:N20)</f>
        <v>43200</v>
      </c>
    </row>
    <row r="21" spans="1:15">
      <c r="B21" t="s">
        <v>141</v>
      </c>
      <c r="C21" s="2">
        <v>3600</v>
      </c>
      <c r="D21" s="2">
        <v>3600</v>
      </c>
      <c r="E21" s="2">
        <v>3600</v>
      </c>
      <c r="F21" s="2">
        <v>3600</v>
      </c>
      <c r="G21" s="2">
        <v>3600</v>
      </c>
      <c r="H21" s="2">
        <v>3600</v>
      </c>
      <c r="I21" s="2">
        <v>3600</v>
      </c>
      <c r="J21" s="2">
        <v>3600</v>
      </c>
      <c r="K21" s="2">
        <v>3600</v>
      </c>
      <c r="L21" s="2">
        <v>3600</v>
      </c>
      <c r="M21" s="2">
        <v>3600</v>
      </c>
      <c r="N21" s="2">
        <v>3600</v>
      </c>
      <c r="O21" s="3">
        <f>SUM(C21:N21)</f>
        <v>43200</v>
      </c>
    </row>
    <row r="22" spans="1:15">
      <c r="N22" t="s">
        <v>164</v>
      </c>
      <c r="O22" s="3">
        <f>O21-O20</f>
        <v>0</v>
      </c>
    </row>
  </sheetData>
  <phoneticPr fontId="6"/>
  <hyperlinks>
    <hyperlink ref="D1" r:id="rId1" display="../../../../../:f:/r/sites/itsupport/Shared Documents/05.%E4%BA%88%E7%AE%97%E7%AE%A1%E7%90%86/2026%E5%B9%B4%E4%BA%88%E7%AE%97/%E5%AE%9F%E7%B8%BE/%E5%AF%8C%E5%A3%AB%E3%83%95%E3%82%A4%E3%83%AB%E3%83%A0%E3%83%93%E3%82%B8%E3%83%8D%E3%82%B9%E3%82%A4%E3%83%8E%E3%83%99%E3%83%BC%E3%82%B7%E3%83%A7%E3%83%B3%E3%82%B8%E3%83%A3%E3%83%91%E3%83%B3%E6%A0%AA%E5%BC%8F%E4%BC%9A%E7%A4%BE%EF%BC%88DeviceLogService%EF%BC%89?csf=1&amp;web=1&amp;e=MxUxGD" xr:uid="{F187327F-9FD6-4CCC-A326-1109A8D9131E}"/>
  </hyperlinks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5EBB-C75C-4175-83A2-D67BF6272D6B}">
  <sheetPr codeName="Sheet48">
    <tabColor rgb="FFFFC000"/>
  </sheetPr>
  <dimension ref="A2:O33"/>
  <sheetViews>
    <sheetView zoomScale="85" zoomScaleNormal="85" workbookViewId="0">
      <selection activeCell="K20" sqref="K20"/>
    </sheetView>
  </sheetViews>
  <sheetFormatPr defaultRowHeight="18"/>
  <cols>
    <col min="1" max="1" width="20.75" customWidth="1"/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22" customWidth="1"/>
    <col min="9" max="9" width="11.5" bestFit="1" customWidth="1"/>
    <col min="10" max="14" width="10.375" bestFit="1" customWidth="1"/>
    <col min="15" max="15" width="14.875" customWidth="1"/>
  </cols>
  <sheetData>
    <row r="2" spans="1:15">
      <c r="C2" t="s">
        <v>312</v>
      </c>
      <c r="D2" t="s">
        <v>415</v>
      </c>
    </row>
    <row r="3" spans="1:15">
      <c r="C3" t="s">
        <v>299</v>
      </c>
      <c r="D3" t="s">
        <v>416</v>
      </c>
    </row>
    <row r="5" spans="1:15">
      <c r="A5" t="s">
        <v>377</v>
      </c>
      <c r="C5" t="s">
        <v>328</v>
      </c>
      <c r="G5" t="s">
        <v>123</v>
      </c>
    </row>
    <row r="6" spans="1:15">
      <c r="A6" t="s">
        <v>156</v>
      </c>
      <c r="B6" t="s">
        <v>126</v>
      </c>
      <c r="C6" t="s">
        <v>156</v>
      </c>
      <c r="D6" t="s">
        <v>188</v>
      </c>
      <c r="G6" t="s">
        <v>156</v>
      </c>
      <c r="H6" t="s">
        <v>188</v>
      </c>
    </row>
    <row r="7" spans="1:15">
      <c r="A7" s="2">
        <v>9685000</v>
      </c>
      <c r="B7" s="2">
        <f>A7/12</f>
        <v>807083.33333333337</v>
      </c>
      <c r="C7" s="2">
        <v>9710000</v>
      </c>
      <c r="D7" s="2">
        <f>C7/12</f>
        <v>809166.66666666663</v>
      </c>
      <c r="F7" s="2"/>
      <c r="G7" s="2">
        <f>H7*12</f>
        <v>9840000</v>
      </c>
      <c r="H7" s="2">
        <v>820000</v>
      </c>
      <c r="I7" s="2"/>
      <c r="J7" s="2"/>
      <c r="L7" s="2"/>
      <c r="M7" s="2"/>
      <c r="N7" s="2"/>
    </row>
    <row r="9" spans="1:15">
      <c r="D9" s="2"/>
      <c r="F9" s="2"/>
      <c r="H9" s="2"/>
      <c r="J9" s="2"/>
    </row>
    <row r="10" spans="1:15">
      <c r="E10" s="2"/>
      <c r="G10" s="25" t="s">
        <v>126</v>
      </c>
      <c r="H10" s="26">
        <f>H7</f>
        <v>820000</v>
      </c>
    </row>
    <row r="11" spans="1:15">
      <c r="G11" s="25" t="s">
        <v>156</v>
      </c>
      <c r="H11" s="26">
        <f>H10*12</f>
        <v>9840000</v>
      </c>
    </row>
    <row r="12" spans="1:15">
      <c r="A12" t="s">
        <v>123</v>
      </c>
    </row>
    <row r="13" spans="1:15">
      <c r="A13" t="s">
        <v>417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>
        <f t="shared" ref="C14:N14" si="0">$H$10</f>
        <v>820000</v>
      </c>
      <c r="D14" s="124">
        <f t="shared" si="0"/>
        <v>820000</v>
      </c>
      <c r="E14" s="124">
        <f t="shared" si="0"/>
        <v>820000</v>
      </c>
      <c r="F14" s="124">
        <f t="shared" si="0"/>
        <v>820000</v>
      </c>
      <c r="G14" s="124">
        <f t="shared" si="0"/>
        <v>820000</v>
      </c>
      <c r="H14" s="124">
        <f t="shared" si="0"/>
        <v>820000</v>
      </c>
      <c r="I14" s="124">
        <f t="shared" si="0"/>
        <v>820000</v>
      </c>
      <c r="J14" s="124">
        <f t="shared" si="0"/>
        <v>820000</v>
      </c>
      <c r="K14" s="124">
        <f t="shared" si="0"/>
        <v>820000</v>
      </c>
      <c r="L14" s="124">
        <f t="shared" si="0"/>
        <v>820000</v>
      </c>
      <c r="M14" s="124">
        <f t="shared" si="0"/>
        <v>820000</v>
      </c>
      <c r="N14" s="124">
        <f t="shared" si="0"/>
        <v>820000</v>
      </c>
      <c r="O14" s="3">
        <f>SUM(C14:N14)</f>
        <v>9840000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N16" t="s">
        <v>164</v>
      </c>
      <c r="O16" s="3">
        <f>O15-O14</f>
        <v>-9840000</v>
      </c>
    </row>
    <row r="23" spans="1:1">
      <c r="A23" t="s">
        <v>367</v>
      </c>
    </row>
    <row r="24" spans="1:1">
      <c r="A24" t="s">
        <v>335</v>
      </c>
    </row>
    <row r="26" spans="1:1">
      <c r="A26" t="s">
        <v>336</v>
      </c>
    </row>
    <row r="27" spans="1:1">
      <c r="A27" t="s">
        <v>337</v>
      </c>
    </row>
    <row r="29" spans="1:1">
      <c r="A29" t="s">
        <v>338</v>
      </c>
    </row>
    <row r="30" spans="1:1">
      <c r="A30" t="s">
        <v>339</v>
      </c>
    </row>
    <row r="31" spans="1:1">
      <c r="A31" t="s">
        <v>340</v>
      </c>
    </row>
    <row r="32" spans="1:1">
      <c r="A32" t="s">
        <v>341</v>
      </c>
    </row>
    <row r="33" spans="1:1">
      <c r="A33" t="s">
        <v>342</v>
      </c>
    </row>
  </sheetData>
  <phoneticPr fontId="6"/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4D48-D1AB-42B9-9F90-344DFA36651B}">
  <sheetPr codeName="Sheet16">
    <tabColor rgb="FFFFC000"/>
  </sheetPr>
  <dimension ref="A2:S21"/>
  <sheetViews>
    <sheetView zoomScale="88" workbookViewId="0">
      <selection activeCell="K20" sqref="K20"/>
    </sheetView>
  </sheetViews>
  <sheetFormatPr defaultRowHeight="18"/>
  <cols>
    <col min="2" max="2" width="25.875" bestFit="1" customWidth="1"/>
    <col min="3" max="3" width="15.125" customWidth="1"/>
    <col min="4" max="4" width="11" bestFit="1" customWidth="1"/>
  </cols>
  <sheetData>
    <row r="2" spans="1:19">
      <c r="C2" t="s">
        <v>147</v>
      </c>
      <c r="D2" t="s">
        <v>123</v>
      </c>
      <c r="E2" t="s">
        <v>124</v>
      </c>
    </row>
    <row r="3" spans="1:19">
      <c r="C3" t="s">
        <v>378</v>
      </c>
    </row>
    <row r="4" spans="1:19">
      <c r="B4" t="s">
        <v>418</v>
      </c>
      <c r="C4" s="2">
        <v>131100</v>
      </c>
      <c r="D4" s="1">
        <v>131100</v>
      </c>
      <c r="E4" s="1">
        <v>131100</v>
      </c>
    </row>
    <row r="5" spans="1:19">
      <c r="B5" t="s">
        <v>419</v>
      </c>
      <c r="C5" s="2">
        <v>75240</v>
      </c>
      <c r="D5" s="1">
        <v>75240</v>
      </c>
      <c r="E5" s="1">
        <v>75240</v>
      </c>
    </row>
    <row r="6" spans="1:19">
      <c r="B6" t="s">
        <v>156</v>
      </c>
      <c r="C6" s="11">
        <f>SUM(C4:C5)</f>
        <v>206340</v>
      </c>
      <c r="D6" s="11">
        <f>SUM(D4:D5)*1.2</f>
        <v>247608</v>
      </c>
      <c r="E6" s="1">
        <f>SUM(E4:E5)</f>
        <v>206340</v>
      </c>
    </row>
    <row r="7" spans="1:19">
      <c r="B7" t="s">
        <v>126</v>
      </c>
      <c r="C7" s="11">
        <f>C6/12</f>
        <v>17195</v>
      </c>
      <c r="D7" s="11">
        <f>D6/12</f>
        <v>20634</v>
      </c>
      <c r="E7" s="2">
        <f>E6/12</f>
        <v>17195</v>
      </c>
    </row>
    <row r="8" spans="1:19">
      <c r="B8" t="s">
        <v>307</v>
      </c>
      <c r="D8" s="11">
        <v>21000</v>
      </c>
      <c r="E8">
        <f>E7*1.1</f>
        <v>18914.5</v>
      </c>
    </row>
    <row r="9" spans="1:19">
      <c r="C9" s="94"/>
      <c r="K9" t="s">
        <v>330</v>
      </c>
    </row>
    <row r="10" spans="1:19">
      <c r="A10" t="s">
        <v>420</v>
      </c>
      <c r="C10" t="s">
        <v>127</v>
      </c>
      <c r="D10" t="s">
        <v>159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137</v>
      </c>
      <c r="N10" t="s">
        <v>138</v>
      </c>
    </row>
    <row r="11" spans="1:19">
      <c r="A11" t="s">
        <v>421</v>
      </c>
      <c r="C11" s="26">
        <v>17195</v>
      </c>
      <c r="D11" s="26">
        <v>17195</v>
      </c>
      <c r="E11" s="26">
        <v>17195</v>
      </c>
      <c r="F11" s="26">
        <v>17195</v>
      </c>
      <c r="G11" s="26">
        <v>17195</v>
      </c>
      <c r="H11" s="26">
        <v>17195</v>
      </c>
      <c r="I11" s="26">
        <v>17195</v>
      </c>
      <c r="J11" s="26">
        <v>17195</v>
      </c>
      <c r="K11" s="26">
        <v>19000</v>
      </c>
      <c r="L11" s="26">
        <v>19000</v>
      </c>
      <c r="M11" s="26">
        <v>19000</v>
      </c>
      <c r="N11" s="26">
        <v>19000</v>
      </c>
      <c r="O11" s="2">
        <f>SUM(C11:N11)</f>
        <v>213560</v>
      </c>
      <c r="P11" t="s">
        <v>422</v>
      </c>
      <c r="S11" s="3">
        <f>O11-O15</f>
        <v>-38440</v>
      </c>
    </row>
    <row r="12" spans="1:19">
      <c r="P12" t="s">
        <v>423</v>
      </c>
      <c r="S12" s="3">
        <f>O11-O16</f>
        <v>7220</v>
      </c>
    </row>
    <row r="14" spans="1:19">
      <c r="A14" t="s">
        <v>389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9">
      <c r="A15" t="s">
        <v>421</v>
      </c>
      <c r="C15" s="26">
        <v>21000</v>
      </c>
      <c r="D15" s="26">
        <v>21000</v>
      </c>
      <c r="E15" s="26">
        <v>21000</v>
      </c>
      <c r="F15" s="26">
        <v>21000</v>
      </c>
      <c r="G15" s="26">
        <v>21000</v>
      </c>
      <c r="H15" s="26">
        <v>21000</v>
      </c>
      <c r="I15" s="26">
        <v>21000</v>
      </c>
      <c r="J15" s="26">
        <v>21000</v>
      </c>
      <c r="K15" s="26">
        <v>21000</v>
      </c>
      <c r="L15" s="26">
        <v>21000</v>
      </c>
      <c r="M15" s="26">
        <v>21000</v>
      </c>
      <c r="N15" s="26">
        <v>21000</v>
      </c>
      <c r="O15" s="2">
        <f>SUM(C15:N15)</f>
        <v>252000</v>
      </c>
    </row>
    <row r="16" spans="1:19">
      <c r="C16" s="11">
        <f>17195</f>
        <v>17195</v>
      </c>
      <c r="D16" s="11">
        <f>17195</f>
        <v>17195</v>
      </c>
      <c r="E16" s="11">
        <f>17195</f>
        <v>17195</v>
      </c>
      <c r="F16" s="11">
        <f>17195</f>
        <v>17195</v>
      </c>
      <c r="G16" s="11">
        <f>17195</f>
        <v>17195</v>
      </c>
      <c r="H16" s="11">
        <f>17195</f>
        <v>17195</v>
      </c>
      <c r="I16" s="11">
        <f>17195</f>
        <v>17195</v>
      </c>
      <c r="J16" s="11">
        <f>17195</f>
        <v>17195</v>
      </c>
      <c r="K16" s="11">
        <f>17195</f>
        <v>17195</v>
      </c>
      <c r="L16" s="11">
        <f>17195</f>
        <v>17195</v>
      </c>
      <c r="M16" s="11">
        <f>17195</f>
        <v>17195</v>
      </c>
      <c r="N16" s="11">
        <f>17195</f>
        <v>17195</v>
      </c>
      <c r="O16" s="3">
        <f>SUM(C16:N16)</f>
        <v>206340</v>
      </c>
    </row>
    <row r="18" spans="3:3">
      <c r="C18" s="10"/>
    </row>
    <row r="21" spans="3:3"/>
  </sheetData>
  <phoneticPr fontId="6"/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4167-4B88-4067-B444-15A29FEADB2C}">
  <sheetPr codeName="Sheet14">
    <tabColor rgb="FFFFC000"/>
  </sheetPr>
  <dimension ref="A3:T34"/>
  <sheetViews>
    <sheetView zoomScale="85" zoomScaleNormal="85" workbookViewId="0">
      <selection activeCell="K20" sqref="K20"/>
    </sheetView>
  </sheetViews>
  <sheetFormatPr defaultRowHeight="18"/>
  <cols>
    <col min="2" max="2" width="25.875" bestFit="1" customWidth="1"/>
    <col min="3" max="3" width="15.125" customWidth="1"/>
    <col min="4" max="4" width="11" bestFit="1" customWidth="1"/>
    <col min="6" max="6" width="15.125" customWidth="1"/>
    <col min="9" max="9" width="14.875" customWidth="1"/>
    <col min="12" max="12" width="9.375" bestFit="1" customWidth="1"/>
  </cols>
  <sheetData>
    <row r="3" spans="1:20">
      <c r="C3" t="s">
        <v>147</v>
      </c>
      <c r="F3" t="s">
        <v>123</v>
      </c>
      <c r="M3" t="s">
        <v>124</v>
      </c>
    </row>
    <row r="4" spans="1:20">
      <c r="C4" t="s">
        <v>378</v>
      </c>
      <c r="D4" t="s">
        <v>153</v>
      </c>
      <c r="F4" t="s">
        <v>378</v>
      </c>
      <c r="G4" t="s">
        <v>424</v>
      </c>
      <c r="H4" t="s">
        <v>406</v>
      </c>
      <c r="I4" t="s">
        <v>425</v>
      </c>
      <c r="J4" t="s">
        <v>139</v>
      </c>
      <c r="M4" t="s">
        <v>378</v>
      </c>
      <c r="N4" t="s">
        <v>424</v>
      </c>
      <c r="O4" t="s">
        <v>406</v>
      </c>
      <c r="P4" t="s">
        <v>426</v>
      </c>
    </row>
    <row r="5" spans="1:20">
      <c r="B5" t="s">
        <v>427</v>
      </c>
      <c r="C5" s="2">
        <v>18840</v>
      </c>
      <c r="D5" s="2">
        <v>17</v>
      </c>
      <c r="E5" s="2">
        <f>C5*D5</f>
        <v>320280</v>
      </c>
      <c r="F5" s="2">
        <f>C5*1.2</f>
        <v>22608</v>
      </c>
      <c r="G5">
        <v>19</v>
      </c>
      <c r="H5" s="2">
        <v>6</v>
      </c>
      <c r="I5">
        <v>5</v>
      </c>
      <c r="J5">
        <f>SUM(G5:I5)</f>
        <v>30</v>
      </c>
      <c r="K5" s="2">
        <f>$F5*$J5</f>
        <v>678240</v>
      </c>
      <c r="M5" s="2">
        <v>18840</v>
      </c>
      <c r="N5">
        <v>20</v>
      </c>
      <c r="O5" s="2">
        <v>0</v>
      </c>
      <c r="P5">
        <v>4</v>
      </c>
      <c r="Q5">
        <f>M5*N5</f>
        <v>376800</v>
      </c>
    </row>
    <row r="6" spans="1:20">
      <c r="B6" t="s">
        <v>428</v>
      </c>
      <c r="C6" s="2">
        <v>24240</v>
      </c>
      <c r="D6" s="2">
        <v>2</v>
      </c>
      <c r="E6" s="2">
        <f>C6*D6</f>
        <v>48480</v>
      </c>
      <c r="F6" s="2">
        <f>C6*1.2</f>
        <v>29088</v>
      </c>
      <c r="G6">
        <v>2</v>
      </c>
      <c r="H6">
        <v>2</v>
      </c>
      <c r="J6">
        <f>SUM(G6:I6)</f>
        <v>4</v>
      </c>
      <c r="K6" s="2">
        <f>$F6*$J6</f>
        <v>116352</v>
      </c>
      <c r="M6" s="2">
        <v>24200</v>
      </c>
      <c r="N6">
        <v>2</v>
      </c>
      <c r="O6">
        <v>0</v>
      </c>
      <c r="P6">
        <v>0</v>
      </c>
      <c r="Q6">
        <f>M6*N6</f>
        <v>48400</v>
      </c>
    </row>
    <row r="7" spans="1:20">
      <c r="B7" t="s">
        <v>156</v>
      </c>
      <c r="C7" s="2"/>
      <c r="D7" s="11"/>
      <c r="E7" s="11">
        <f>SUM(E5:E6)</f>
        <v>368760</v>
      </c>
      <c r="J7" s="11" t="s">
        <v>156</v>
      </c>
      <c r="K7" s="11">
        <f>SUM(K5:K6)</f>
        <v>794592</v>
      </c>
      <c r="L7" s="11">
        <v>795000</v>
      </c>
      <c r="P7" s="11" t="s">
        <v>156</v>
      </c>
      <c r="Q7">
        <f>SUM(Q5:Q6)</f>
        <v>425200</v>
      </c>
    </row>
    <row r="8" spans="1:20">
      <c r="B8" t="s">
        <v>126</v>
      </c>
      <c r="C8" s="2"/>
      <c r="D8" s="11"/>
      <c r="E8" s="11">
        <f>E7/12</f>
        <v>30730</v>
      </c>
      <c r="J8" s="11" t="s">
        <v>126</v>
      </c>
      <c r="K8" s="11">
        <f>K7/12</f>
        <v>66216</v>
      </c>
      <c r="L8" s="11">
        <f>L7/12</f>
        <v>66250</v>
      </c>
      <c r="P8" s="11" t="s">
        <v>126</v>
      </c>
      <c r="Q8">
        <f>Q7/12</f>
        <v>35433.333333333336</v>
      </c>
    </row>
    <row r="12" spans="1:20">
      <c r="A12" t="s">
        <v>420</v>
      </c>
      <c r="D12" t="s">
        <v>127</v>
      </c>
      <c r="E12" t="s">
        <v>159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20">
      <c r="A13" t="s">
        <v>429</v>
      </c>
      <c r="C13" t="s">
        <v>140</v>
      </c>
      <c r="D13" s="26">
        <v>35500</v>
      </c>
      <c r="E13" s="26">
        <v>35500</v>
      </c>
      <c r="F13" s="26">
        <v>35500</v>
      </c>
      <c r="G13" s="26">
        <v>35500</v>
      </c>
      <c r="H13" s="26">
        <v>35500</v>
      </c>
      <c r="I13" s="26">
        <v>35500</v>
      </c>
      <c r="J13" s="26">
        <v>35500</v>
      </c>
      <c r="K13" s="26">
        <v>35500</v>
      </c>
      <c r="L13" s="26">
        <v>35500</v>
      </c>
      <c r="M13" s="26">
        <v>35500</v>
      </c>
      <c r="N13" s="26">
        <v>35500</v>
      </c>
      <c r="O13" s="26">
        <v>35500</v>
      </c>
      <c r="P13" s="3">
        <f>SUM(D13:O13)</f>
        <v>426000</v>
      </c>
      <c r="Q13" t="s">
        <v>422</v>
      </c>
      <c r="T13" s="3">
        <f>P13-P19</f>
        <v>-369000</v>
      </c>
    </row>
    <row r="14" spans="1:20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">
        <f>SUM(D14:O14)</f>
        <v>0</v>
      </c>
      <c r="Q14" t="s">
        <v>423</v>
      </c>
      <c r="T14" s="3">
        <f>P13-P20</f>
        <v>-77580</v>
      </c>
    </row>
    <row r="15" spans="1:20"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3"/>
    </row>
    <row r="18" spans="1:16">
      <c r="A18" t="s">
        <v>389</v>
      </c>
      <c r="D18" t="s">
        <v>127</v>
      </c>
      <c r="E18" t="s">
        <v>159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137</v>
      </c>
      <c r="O18" t="s">
        <v>138</v>
      </c>
    </row>
    <row r="19" spans="1:16">
      <c r="A19" t="s">
        <v>429</v>
      </c>
      <c r="C19" t="s">
        <v>140</v>
      </c>
      <c r="D19" s="11">
        <v>66250</v>
      </c>
      <c r="E19" s="11">
        <v>66250</v>
      </c>
      <c r="F19" s="11">
        <v>66250</v>
      </c>
      <c r="G19" s="11">
        <v>66250</v>
      </c>
      <c r="H19" s="11">
        <v>66250</v>
      </c>
      <c r="I19" s="11">
        <v>66250</v>
      </c>
      <c r="J19" s="11">
        <v>66250</v>
      </c>
      <c r="K19" s="11">
        <v>66250</v>
      </c>
      <c r="L19" s="11">
        <v>66250</v>
      </c>
      <c r="M19" s="11">
        <v>66250</v>
      </c>
      <c r="N19" s="11">
        <v>66250</v>
      </c>
      <c r="O19" s="11">
        <v>66250</v>
      </c>
      <c r="P19" s="3">
        <f>SUM(D19:O19)</f>
        <v>795000</v>
      </c>
    </row>
    <row r="20" spans="1:16">
      <c r="C20" t="s">
        <v>141</v>
      </c>
      <c r="D20" s="11">
        <v>33870</v>
      </c>
      <c r="E20" s="11">
        <v>33870</v>
      </c>
      <c r="F20" s="11">
        <v>33870</v>
      </c>
      <c r="G20" s="11">
        <v>33870</v>
      </c>
      <c r="H20" s="11">
        <v>33870</v>
      </c>
      <c r="I20" s="11">
        <v>33870</v>
      </c>
      <c r="J20" s="11">
        <v>33870</v>
      </c>
      <c r="K20" s="11">
        <v>33870</v>
      </c>
      <c r="L20" s="11">
        <v>33870</v>
      </c>
      <c r="M20" s="11">
        <v>66250</v>
      </c>
      <c r="N20" s="11">
        <v>66250</v>
      </c>
      <c r="O20" s="11">
        <v>66250</v>
      </c>
      <c r="P20" s="3">
        <f>SUM(D20:O20)</f>
        <v>503580</v>
      </c>
    </row>
    <row r="21" spans="1:16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3"/>
    </row>
    <row r="23" spans="1:16">
      <c r="C23" s="10"/>
    </row>
    <row r="24" spans="1:16">
      <c r="C24" t="s">
        <v>147</v>
      </c>
      <c r="F24" t="s">
        <v>123</v>
      </c>
    </row>
    <row r="25" spans="1:16">
      <c r="C25" t="s">
        <v>378</v>
      </c>
      <c r="D25" t="s">
        <v>153</v>
      </c>
      <c r="F25" t="s">
        <v>378</v>
      </c>
      <c r="G25" t="s">
        <v>424</v>
      </c>
      <c r="H25" t="s">
        <v>406</v>
      </c>
      <c r="I25" t="s">
        <v>425</v>
      </c>
      <c r="J25" t="s">
        <v>139</v>
      </c>
    </row>
    <row r="26" spans="1:16">
      <c r="B26" t="s">
        <v>427</v>
      </c>
      <c r="C26" s="2">
        <v>18840</v>
      </c>
      <c r="D26" s="2">
        <v>17</v>
      </c>
      <c r="E26" s="2">
        <f>C26*D26</f>
        <v>320280</v>
      </c>
      <c r="F26" s="2">
        <f>C26*1.2</f>
        <v>22608</v>
      </c>
      <c r="G26">
        <v>17</v>
      </c>
      <c r="H26" s="2">
        <v>6</v>
      </c>
      <c r="I26">
        <v>5</v>
      </c>
      <c r="J26">
        <f>SUM(G26:I26)</f>
        <v>28</v>
      </c>
      <c r="K26" s="2">
        <f>$F26*$J26</f>
        <v>633024</v>
      </c>
    </row>
    <row r="27" spans="1:16">
      <c r="B27" t="s">
        <v>428</v>
      </c>
      <c r="C27" s="2">
        <v>24240</v>
      </c>
      <c r="D27" s="2">
        <v>2</v>
      </c>
      <c r="E27" s="2">
        <f>C27*D27</f>
        <v>48480</v>
      </c>
      <c r="F27" s="2">
        <f>C27*1.2</f>
        <v>29088</v>
      </c>
      <c r="G27">
        <v>2</v>
      </c>
      <c r="H27">
        <v>2</v>
      </c>
      <c r="J27">
        <f>SUM(G27:I27)</f>
        <v>4</v>
      </c>
      <c r="K27" s="2">
        <f>$F27*$J27</f>
        <v>116352</v>
      </c>
    </row>
    <row r="28" spans="1:16">
      <c r="B28" t="s">
        <v>156</v>
      </c>
      <c r="C28" s="2"/>
      <c r="D28" s="2"/>
      <c r="E28" s="2">
        <f>SUM(E26:E27)</f>
        <v>368760</v>
      </c>
      <c r="J28" s="124" t="s">
        <v>156</v>
      </c>
      <c r="K28" s="2">
        <f>SUM(K26:K27)</f>
        <v>749376</v>
      </c>
      <c r="L28" s="124">
        <v>795000</v>
      </c>
    </row>
    <row r="29" spans="1:16">
      <c r="B29" t="s">
        <v>126</v>
      </c>
      <c r="C29" s="2"/>
      <c r="D29" s="2"/>
      <c r="E29" s="2">
        <f>E28/12</f>
        <v>30730</v>
      </c>
      <c r="J29" s="124" t="s">
        <v>126</v>
      </c>
      <c r="K29" s="2">
        <f>K28/12</f>
        <v>62448</v>
      </c>
      <c r="L29" s="124">
        <f>L28/12</f>
        <v>66250</v>
      </c>
    </row>
    <row r="33" spans="1:16">
      <c r="A33" t="s">
        <v>389</v>
      </c>
      <c r="D33" t="s">
        <v>127</v>
      </c>
      <c r="E33" t="s">
        <v>159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137</v>
      </c>
      <c r="O33" t="s">
        <v>138</v>
      </c>
    </row>
    <row r="34" spans="1:16">
      <c r="A34" t="s">
        <v>429</v>
      </c>
      <c r="D34" s="26">
        <v>66250</v>
      </c>
      <c r="E34" s="26">
        <v>66250</v>
      </c>
      <c r="F34" s="26">
        <v>66250</v>
      </c>
      <c r="G34" s="26">
        <v>66250</v>
      </c>
      <c r="H34" s="26">
        <v>66250</v>
      </c>
      <c r="I34" s="26">
        <v>66250</v>
      </c>
      <c r="J34" s="26">
        <v>66250</v>
      </c>
      <c r="K34" s="26">
        <v>66250</v>
      </c>
      <c r="L34" s="26">
        <v>66250</v>
      </c>
      <c r="M34" s="26">
        <v>66250</v>
      </c>
      <c r="N34" s="26">
        <v>66250</v>
      </c>
      <c r="O34" s="26">
        <v>66250</v>
      </c>
      <c r="P34" s="3">
        <f>SUM(D34:O34)</f>
        <v>795000</v>
      </c>
    </row>
  </sheetData>
  <phoneticPr fontId="6"/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7116-A2F6-4F41-8E7B-D54826B4BF5C}">
  <sheetPr codeName="Sheet21">
    <tabColor rgb="FFFFC000"/>
  </sheetPr>
  <dimension ref="A20:Z128"/>
  <sheetViews>
    <sheetView topLeftCell="D1" zoomScale="70" zoomScaleNormal="70" workbookViewId="0">
      <selection activeCell="Q26" sqref="Q26"/>
    </sheetView>
  </sheetViews>
  <sheetFormatPr defaultRowHeight="18" outlineLevelRow="1"/>
  <cols>
    <col min="2" max="2" width="16.25" bestFit="1" customWidth="1"/>
    <col min="3" max="4" width="16.25" customWidth="1"/>
    <col min="5" max="5" width="9.375" bestFit="1" customWidth="1"/>
    <col min="6" max="12" width="10.5" bestFit="1" customWidth="1"/>
    <col min="13" max="13" width="10.625" customWidth="1"/>
    <col min="14" max="17" width="10.5" bestFit="1" customWidth="1"/>
    <col min="18" max="18" width="14.375" customWidth="1"/>
    <col min="19" max="20" width="10.5" bestFit="1" customWidth="1"/>
    <col min="21" max="21" width="12.25" bestFit="1" customWidth="1"/>
    <col min="22" max="22" width="11.875" bestFit="1" customWidth="1"/>
    <col min="24" max="24" width="11.875" bestFit="1" customWidth="1"/>
    <col min="25" max="25" width="12.25" bestFit="1" customWidth="1"/>
    <col min="26" max="26" width="10.875" customWidth="1"/>
  </cols>
  <sheetData>
    <row r="20" spans="1:25">
      <c r="F20" t="s">
        <v>147</v>
      </c>
      <c r="I20" t="s">
        <v>123</v>
      </c>
      <c r="M20" t="s">
        <v>329</v>
      </c>
    </row>
    <row r="21" spans="1:25">
      <c r="F21" t="s">
        <v>246</v>
      </c>
      <c r="G21" t="s">
        <v>153</v>
      </c>
      <c r="I21" t="s">
        <v>246</v>
      </c>
      <c r="J21" t="s">
        <v>430</v>
      </c>
      <c r="K21" t="s">
        <v>406</v>
      </c>
      <c r="L21" t="s">
        <v>139</v>
      </c>
      <c r="M21" t="s">
        <v>431</v>
      </c>
      <c r="N21" t="s">
        <v>432</v>
      </c>
      <c r="O21" t="s">
        <v>433</v>
      </c>
      <c r="P21" t="s">
        <v>406</v>
      </c>
    </row>
    <row r="22" spans="1:25">
      <c r="F22" s="2">
        <v>6188</v>
      </c>
      <c r="G22">
        <v>565</v>
      </c>
      <c r="I22" s="2">
        <v>7357</v>
      </c>
      <c r="J22">
        <v>565</v>
      </c>
      <c r="K22">
        <v>160</v>
      </c>
      <c r="L22">
        <f>J22+K22</f>
        <v>725</v>
      </c>
      <c r="M22">
        <v>579</v>
      </c>
      <c r="N22">
        <f>M22-O22</f>
        <v>474</v>
      </c>
      <c r="O22">
        <v>105</v>
      </c>
      <c r="P22">
        <v>20</v>
      </c>
    </row>
    <row r="23" spans="1:25">
      <c r="G23" t="s">
        <v>126</v>
      </c>
      <c r="H23" s="2">
        <f>F22*G22</f>
        <v>3496220</v>
      </c>
      <c r="J23" t="s">
        <v>126</v>
      </c>
      <c r="K23" s="11">
        <f>I22*L22</f>
        <v>5333825</v>
      </c>
      <c r="L23" s="11">
        <v>5340000</v>
      </c>
    </row>
    <row r="24" spans="1:25">
      <c r="H24">
        <f>H23*12</f>
        <v>41954640</v>
      </c>
      <c r="J24" t="s">
        <v>156</v>
      </c>
      <c r="K24" s="11">
        <f>K23*12</f>
        <v>64005900</v>
      </c>
      <c r="L24" s="11">
        <f>L23*12</f>
        <v>64080000</v>
      </c>
    </row>
    <row r="25" spans="1:25" ht="15.75">
      <c r="K25" s="11"/>
      <c r="L25" s="11"/>
      <c r="N25" s="2">
        <v>7357</v>
      </c>
    </row>
    <row r="26" spans="1:25" ht="15.75">
      <c r="K26" s="11"/>
      <c r="L26" s="11"/>
      <c r="N26">
        <v>46326079</v>
      </c>
      <c r="O26">
        <f>N26/N25/12</f>
        <v>524.7392392732545</v>
      </c>
    </row>
    <row r="27" spans="1:25">
      <c r="K27" s="11"/>
      <c r="L27" s="11"/>
      <c r="N27">
        <v>7227</v>
      </c>
      <c r="O27">
        <f>N27*500</f>
        <v>3613500</v>
      </c>
    </row>
    <row r="28" spans="1:25">
      <c r="A28" t="s">
        <v>124</v>
      </c>
    </row>
    <row r="29" spans="1:25">
      <c r="A29" t="s">
        <v>434</v>
      </c>
      <c r="G29" t="s">
        <v>435</v>
      </c>
    </row>
    <row r="30" spans="1:25">
      <c r="E30" t="s">
        <v>127</v>
      </c>
      <c r="F30" t="s">
        <v>159</v>
      </c>
      <c r="G30" t="s">
        <v>129</v>
      </c>
      <c r="H30" t="s">
        <v>130</v>
      </c>
      <c r="I30" t="s">
        <v>131</v>
      </c>
      <c r="J30" t="s">
        <v>132</v>
      </c>
      <c r="K30" t="s">
        <v>133</v>
      </c>
      <c r="L30" t="s">
        <v>134</v>
      </c>
      <c r="M30" t="s">
        <v>135</v>
      </c>
      <c r="N30" t="s">
        <v>136</v>
      </c>
      <c r="O30" t="s">
        <v>137</v>
      </c>
      <c r="P30" t="s">
        <v>138</v>
      </c>
      <c r="Q30" s="3"/>
      <c r="V30" t="s">
        <v>436</v>
      </c>
      <c r="Y30" t="s">
        <v>437</v>
      </c>
    </row>
    <row r="31" spans="1:25">
      <c r="A31" t="s">
        <v>438</v>
      </c>
      <c r="D31" s="111" t="s">
        <v>140</v>
      </c>
      <c r="E31" s="26">
        <f>E$33*$D$33</f>
        <v>4259703</v>
      </c>
      <c r="F31" s="26">
        <f>F$33*$D$33</f>
        <v>4259703</v>
      </c>
      <c r="G31" s="26">
        <f>G$33*$D$33</f>
        <v>4259703</v>
      </c>
      <c r="H31" s="26">
        <f t="shared" ref="H31:P31" si="0">H$35*$D$35</f>
        <v>3638500</v>
      </c>
      <c r="I31" s="26">
        <f t="shared" si="0"/>
        <v>3638500</v>
      </c>
      <c r="J31" s="26">
        <f t="shared" si="0"/>
        <v>3711270</v>
      </c>
      <c r="K31" s="26">
        <f t="shared" si="0"/>
        <v>3711270</v>
      </c>
      <c r="L31" s="26">
        <f t="shared" si="0"/>
        <v>3711270</v>
      </c>
      <c r="M31" s="26">
        <f t="shared" si="0"/>
        <v>3784040</v>
      </c>
      <c r="N31" s="26">
        <f t="shared" si="0"/>
        <v>3784040</v>
      </c>
      <c r="O31" s="26">
        <f t="shared" si="0"/>
        <v>3784040</v>
      </c>
      <c r="P31" s="26">
        <f t="shared" si="0"/>
        <v>3784040</v>
      </c>
      <c r="Q31" s="24">
        <f>SUM(E31:P31)</f>
        <v>46326079</v>
      </c>
      <c r="R31" t="s">
        <v>409</v>
      </c>
      <c r="T31" s="3">
        <f>Q31-Q40</f>
        <v>-4507333</v>
      </c>
      <c r="V31" s="3">
        <f>D34-D35</f>
        <v>449</v>
      </c>
      <c r="W31">
        <v>500</v>
      </c>
      <c r="X31">
        <v>9</v>
      </c>
      <c r="Y31" s="2">
        <f>V31*W31*X31</f>
        <v>2020500</v>
      </c>
    </row>
    <row r="32" spans="1:25">
      <c r="D32" s="111" t="s">
        <v>439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t="s">
        <v>410</v>
      </c>
      <c r="T32" s="3">
        <f>Q31-Q41</f>
        <v>-2759804</v>
      </c>
    </row>
    <row r="33" spans="1:21">
      <c r="B33" t="s">
        <v>78</v>
      </c>
      <c r="C33" s="111" t="s">
        <v>440</v>
      </c>
      <c r="D33" s="2">
        <v>7357</v>
      </c>
      <c r="E33" s="11">
        <v>579</v>
      </c>
      <c r="F33" s="11">
        <v>579</v>
      </c>
      <c r="G33" s="11">
        <v>579</v>
      </c>
      <c r="H33" s="11"/>
      <c r="I33" s="11"/>
      <c r="J33" s="11"/>
      <c r="K33" s="11"/>
      <c r="L33" s="11"/>
      <c r="M33" s="11"/>
      <c r="N33" s="11"/>
      <c r="O33" s="11"/>
      <c r="P33" s="11"/>
      <c r="Q33" s="3"/>
    </row>
    <row r="34" spans="1:21">
      <c r="C34" s="111" t="s">
        <v>441</v>
      </c>
      <c r="D34" s="2">
        <v>7726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3"/>
      <c r="T34" s="3"/>
    </row>
    <row r="35" spans="1:21">
      <c r="B35" t="s">
        <v>79</v>
      </c>
      <c r="D35" s="2">
        <v>7277</v>
      </c>
      <c r="E35" s="11"/>
      <c r="F35" s="11"/>
      <c r="G35" s="11"/>
      <c r="H35" s="11">
        <v>500</v>
      </c>
      <c r="I35" s="11">
        <v>500</v>
      </c>
      <c r="J35" s="11">
        <v>510</v>
      </c>
      <c r="K35" s="11">
        <v>510</v>
      </c>
      <c r="L35" s="11">
        <v>510</v>
      </c>
      <c r="M35" s="11">
        <v>520</v>
      </c>
      <c r="N35" s="11">
        <v>520</v>
      </c>
      <c r="O35" s="11">
        <v>520</v>
      </c>
      <c r="P35" s="11">
        <v>520</v>
      </c>
      <c r="Q35" s="3"/>
    </row>
    <row r="36" spans="1:21" ht="15.75">
      <c r="S36" t="s">
        <v>442</v>
      </c>
      <c r="T36" s="3">
        <f>Q41</f>
        <v>49085883</v>
      </c>
    </row>
    <row r="37" spans="1:21" ht="15.75">
      <c r="S37" t="s">
        <v>186</v>
      </c>
      <c r="T37" s="3">
        <f>Q31</f>
        <v>46326079</v>
      </c>
    </row>
    <row r="38" spans="1:21" ht="15.75">
      <c r="A38" t="s">
        <v>123</v>
      </c>
      <c r="T38" s="3">
        <f>T37-T36</f>
        <v>-2759804</v>
      </c>
      <c r="U38" t="s">
        <v>443</v>
      </c>
    </row>
    <row r="39" spans="1:21">
      <c r="A39" t="s">
        <v>434</v>
      </c>
      <c r="E39" t="s">
        <v>127</v>
      </c>
      <c r="F39" t="s">
        <v>159</v>
      </c>
      <c r="G39" t="s">
        <v>129</v>
      </c>
      <c r="H39" t="s">
        <v>130</v>
      </c>
      <c r="I39" t="s">
        <v>131</v>
      </c>
      <c r="J39" t="s">
        <v>132</v>
      </c>
      <c r="K39" t="s">
        <v>133</v>
      </c>
      <c r="L39" t="s">
        <v>134</v>
      </c>
      <c r="M39" t="s">
        <v>135</v>
      </c>
      <c r="N39" t="s">
        <v>136</v>
      </c>
      <c r="O39" t="s">
        <v>137</v>
      </c>
      <c r="P39" t="s">
        <v>138</v>
      </c>
    </row>
    <row r="40" spans="1:21">
      <c r="D40" t="s">
        <v>140</v>
      </c>
      <c r="E40" s="11">
        <v>4243337</v>
      </c>
      <c r="F40" s="11">
        <v>4243337</v>
      </c>
      <c r="G40" s="11">
        <v>4243337</v>
      </c>
      <c r="H40" s="11">
        <v>4243337</v>
      </c>
      <c r="I40" s="11">
        <v>4243337</v>
      </c>
      <c r="J40" s="11">
        <v>4243337</v>
      </c>
      <c r="K40" s="11">
        <v>4243337</v>
      </c>
      <c r="L40" s="11">
        <v>4243337</v>
      </c>
      <c r="M40" s="11">
        <v>4243337</v>
      </c>
      <c r="N40" s="11">
        <v>4243337</v>
      </c>
      <c r="O40" s="11">
        <v>4243337</v>
      </c>
      <c r="P40" s="11">
        <v>4156705</v>
      </c>
      <c r="Q40" s="3">
        <f>SUM(E40:P40)</f>
        <v>50833412</v>
      </c>
    </row>
    <row r="41" spans="1:21">
      <c r="D41" t="s">
        <v>141</v>
      </c>
      <c r="E41" s="11">
        <v>3582852</v>
      </c>
      <c r="F41" s="11">
        <v>3582852</v>
      </c>
      <c r="G41" s="11">
        <v>3582852</v>
      </c>
      <c r="H41" s="11">
        <v>4259703</v>
      </c>
      <c r="I41" s="11">
        <v>4259703</v>
      </c>
      <c r="J41" s="11">
        <v>4259703</v>
      </c>
      <c r="K41" s="11">
        <v>4259703</v>
      </c>
      <c r="L41" s="11">
        <v>4259703</v>
      </c>
      <c r="M41" s="11">
        <v>4259703</v>
      </c>
      <c r="N41" s="11">
        <v>4259703</v>
      </c>
      <c r="O41" s="11">
        <v>4259703</v>
      </c>
      <c r="P41" s="11">
        <v>4259703</v>
      </c>
      <c r="Q41" s="3">
        <f>SUM(E41:P41)</f>
        <v>49085883</v>
      </c>
    </row>
    <row r="42" spans="1:21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3"/>
    </row>
    <row r="43" spans="1:21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3"/>
    </row>
    <row r="44" spans="1:21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3"/>
    </row>
    <row r="45" spans="1:21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3"/>
    </row>
    <row r="46" spans="1:21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3"/>
    </row>
    <row r="47" spans="1:21">
      <c r="A47" t="s">
        <v>123</v>
      </c>
    </row>
    <row r="48" spans="1:21">
      <c r="A48" t="s">
        <v>434</v>
      </c>
      <c r="E48" t="s">
        <v>127</v>
      </c>
      <c r="F48" t="s">
        <v>159</v>
      </c>
      <c r="G48" t="s">
        <v>129</v>
      </c>
      <c r="H48" t="s">
        <v>130</v>
      </c>
      <c r="I48" t="s">
        <v>131</v>
      </c>
      <c r="J48" t="s">
        <v>132</v>
      </c>
      <c r="K48" t="s">
        <v>133</v>
      </c>
      <c r="L48" t="s">
        <v>134</v>
      </c>
      <c r="M48" t="s">
        <v>135</v>
      </c>
      <c r="N48" t="s">
        <v>136</v>
      </c>
      <c r="O48" t="s">
        <v>137</v>
      </c>
      <c r="P48" t="s">
        <v>138</v>
      </c>
    </row>
    <row r="49" spans="1:23">
      <c r="E49" s="124">
        <f>$B$50*E$50</f>
        <v>4486300</v>
      </c>
      <c r="F49" s="124">
        <f t="shared" ref="F49:G49" si="1">$B$50*F$50</f>
        <v>4486300</v>
      </c>
      <c r="G49" s="124">
        <f t="shared" si="1"/>
        <v>4486300</v>
      </c>
      <c r="H49" s="124">
        <f>$B$51*H$51</f>
        <v>5333825</v>
      </c>
      <c r="I49" s="124">
        <f t="shared" ref="I49:P49" si="2">$B$51*I$51</f>
        <v>5333825</v>
      </c>
      <c r="J49" s="124">
        <f t="shared" si="2"/>
        <v>5333825</v>
      </c>
      <c r="K49" s="124">
        <f t="shared" si="2"/>
        <v>5333825</v>
      </c>
      <c r="L49" s="124">
        <f t="shared" si="2"/>
        <v>5333825</v>
      </c>
      <c r="M49" s="124">
        <f t="shared" si="2"/>
        <v>5333825</v>
      </c>
      <c r="N49" s="124">
        <f t="shared" si="2"/>
        <v>5333825</v>
      </c>
      <c r="O49" s="124">
        <f t="shared" si="2"/>
        <v>5333825</v>
      </c>
      <c r="P49" s="124">
        <f t="shared" si="2"/>
        <v>5333825</v>
      </c>
      <c r="Q49" s="24">
        <f>SUM(E49:P49)</f>
        <v>61463325</v>
      </c>
    </row>
    <row r="50" spans="1:23">
      <c r="B50">
        <v>6188</v>
      </c>
      <c r="E50" s="11">
        <v>725</v>
      </c>
      <c r="F50" s="11">
        <v>725</v>
      </c>
      <c r="G50" s="11">
        <v>725</v>
      </c>
      <c r="H50" s="11"/>
      <c r="I50" s="11"/>
      <c r="J50" s="11"/>
      <c r="K50" s="11"/>
      <c r="L50" s="11"/>
      <c r="M50" s="11"/>
      <c r="N50" s="11"/>
      <c r="O50" s="11"/>
      <c r="P50" s="11"/>
      <c r="Q50" s="3"/>
    </row>
    <row r="51" spans="1:23">
      <c r="B51">
        <v>7357</v>
      </c>
      <c r="E51" s="11"/>
      <c r="F51" s="11"/>
      <c r="G51" s="11"/>
      <c r="H51" s="11">
        <v>725</v>
      </c>
      <c r="I51" s="11">
        <v>725</v>
      </c>
      <c r="J51" s="11">
        <v>725</v>
      </c>
      <c r="K51" s="11">
        <v>725</v>
      </c>
      <c r="L51" s="11">
        <v>725</v>
      </c>
      <c r="M51" s="11">
        <v>725</v>
      </c>
      <c r="N51" s="11">
        <v>725</v>
      </c>
      <c r="O51" s="11">
        <v>725</v>
      </c>
      <c r="P51" s="11">
        <v>725</v>
      </c>
      <c r="Q51" s="3"/>
    </row>
    <row r="52" spans="1:23">
      <c r="E52" s="11">
        <v>3582852</v>
      </c>
      <c r="F52" s="11">
        <v>3582852</v>
      </c>
      <c r="G52" s="11">
        <v>3582852</v>
      </c>
      <c r="H52" s="11">
        <v>4259703</v>
      </c>
      <c r="I52" s="11">
        <v>4259703</v>
      </c>
      <c r="J52" s="11">
        <v>4259703</v>
      </c>
      <c r="K52" s="11">
        <v>4259703</v>
      </c>
      <c r="L52" s="11">
        <v>4259703</v>
      </c>
      <c r="M52" s="11">
        <v>4259703</v>
      </c>
      <c r="N52" s="11"/>
      <c r="O52" s="11">
        <v>4243337</v>
      </c>
      <c r="P52" s="11">
        <v>4156705</v>
      </c>
      <c r="Q52" s="3">
        <f>SUM(E52:P52)</f>
        <v>44706816</v>
      </c>
    </row>
    <row r="53" spans="1:23">
      <c r="A53" t="s">
        <v>444</v>
      </c>
    </row>
    <row r="54" spans="1:23">
      <c r="A54" t="s">
        <v>445</v>
      </c>
    </row>
    <row r="55" spans="1:23">
      <c r="A55" t="s">
        <v>434</v>
      </c>
      <c r="E55" t="s">
        <v>127</v>
      </c>
      <c r="F55" t="s">
        <v>159</v>
      </c>
      <c r="G55" t="s">
        <v>129</v>
      </c>
      <c r="H55" t="s">
        <v>130</v>
      </c>
      <c r="I55" t="s">
        <v>131</v>
      </c>
      <c r="J55" t="s">
        <v>132</v>
      </c>
      <c r="K55" t="s">
        <v>133</v>
      </c>
      <c r="L55" t="s">
        <v>134</v>
      </c>
      <c r="M55" t="s">
        <v>135</v>
      </c>
      <c r="N55" t="s">
        <v>136</v>
      </c>
      <c r="O55" t="s">
        <v>137</v>
      </c>
      <c r="P55" t="s">
        <v>138</v>
      </c>
    </row>
    <row r="56" spans="1:23">
      <c r="E56" s="124">
        <f>$B$57*E$57</f>
        <v>3712800</v>
      </c>
      <c r="F56" s="124">
        <f t="shared" ref="F56:G56" si="3">$B$57*F$57</f>
        <v>3712800</v>
      </c>
      <c r="G56" s="124">
        <f t="shared" si="3"/>
        <v>3712800</v>
      </c>
      <c r="H56" s="124">
        <f>$B$58*H$58</f>
        <v>4414200</v>
      </c>
      <c r="I56" s="124">
        <f t="shared" ref="I56:P56" si="4">$B$58*I$58</f>
        <v>4414200</v>
      </c>
      <c r="J56" s="124">
        <f t="shared" si="4"/>
        <v>4414200</v>
      </c>
      <c r="K56" s="124">
        <f t="shared" si="4"/>
        <v>4414200</v>
      </c>
      <c r="L56" s="124">
        <f t="shared" si="4"/>
        <v>4414200</v>
      </c>
      <c r="M56" s="124">
        <f t="shared" si="4"/>
        <v>4414200</v>
      </c>
      <c r="N56" s="124">
        <f t="shared" si="4"/>
        <v>4414200</v>
      </c>
      <c r="O56" s="124">
        <f t="shared" si="4"/>
        <v>4414200</v>
      </c>
      <c r="P56" s="124">
        <f t="shared" si="4"/>
        <v>4414200</v>
      </c>
      <c r="Q56" s="24">
        <f>SUM(E56:P56)</f>
        <v>50866200</v>
      </c>
    </row>
    <row r="57" spans="1:23">
      <c r="B57">
        <v>6188</v>
      </c>
      <c r="E57" s="11">
        <v>600</v>
      </c>
      <c r="F57" s="11">
        <v>600</v>
      </c>
      <c r="G57" s="11">
        <v>600</v>
      </c>
      <c r="H57" s="11"/>
      <c r="P57" s="11"/>
      <c r="Q57" s="3"/>
    </row>
    <row r="58" spans="1:23">
      <c r="B58">
        <v>7357</v>
      </c>
      <c r="E58" s="11"/>
      <c r="F58" s="11"/>
      <c r="G58" s="11"/>
      <c r="H58" s="11">
        <v>600</v>
      </c>
      <c r="I58" s="11">
        <v>600</v>
      </c>
      <c r="J58" s="11">
        <v>600</v>
      </c>
      <c r="K58" s="11">
        <v>600</v>
      </c>
      <c r="L58" s="11">
        <v>600</v>
      </c>
      <c r="M58" s="11">
        <v>600</v>
      </c>
      <c r="N58" s="11">
        <v>600</v>
      </c>
      <c r="O58" s="11">
        <v>600</v>
      </c>
      <c r="P58" s="11">
        <v>600</v>
      </c>
      <c r="Q58" s="3"/>
    </row>
    <row r="59" spans="1:23"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3"/>
    </row>
    <row r="60" spans="1:23"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3"/>
    </row>
    <row r="63" spans="1:23">
      <c r="R63" s="4" t="s">
        <v>446</v>
      </c>
      <c r="T63" s="4" t="s">
        <v>140</v>
      </c>
      <c r="U63" s="4" t="s">
        <v>447</v>
      </c>
      <c r="V63" t="s">
        <v>448</v>
      </c>
      <c r="W63" t="s">
        <v>449</v>
      </c>
    </row>
    <row r="64" spans="1:23">
      <c r="A64">
        <v>2023</v>
      </c>
      <c r="F64">
        <v>1</v>
      </c>
      <c r="G64">
        <v>2</v>
      </c>
      <c r="H64">
        <v>3</v>
      </c>
      <c r="I64">
        <v>4</v>
      </c>
      <c r="J64">
        <v>5</v>
      </c>
      <c r="K64">
        <v>6</v>
      </c>
      <c r="L64">
        <v>7</v>
      </c>
      <c r="M64">
        <v>8</v>
      </c>
      <c r="N64">
        <v>9</v>
      </c>
      <c r="O64">
        <v>10</v>
      </c>
      <c r="P64">
        <v>11</v>
      </c>
      <c r="Q64">
        <v>12</v>
      </c>
    </row>
    <row r="65" spans="1:26">
      <c r="B65" t="s">
        <v>450</v>
      </c>
      <c r="F65">
        <v>420</v>
      </c>
      <c r="G65">
        <v>420</v>
      </c>
      <c r="H65">
        <v>450</v>
      </c>
      <c r="I65">
        <v>450</v>
      </c>
      <c r="J65">
        <v>490</v>
      </c>
      <c r="K65">
        <v>490</v>
      </c>
      <c r="L65">
        <v>490</v>
      </c>
      <c r="M65">
        <v>500</v>
      </c>
      <c r="N65">
        <v>500</v>
      </c>
      <c r="O65">
        <v>0</v>
      </c>
      <c r="P65">
        <v>0</v>
      </c>
      <c r="Q65">
        <v>0</v>
      </c>
    </row>
    <row r="66" spans="1:26">
      <c r="E66" s="2">
        <v>3380</v>
      </c>
      <c r="F66" s="2">
        <f>F65*3380</f>
        <v>1419600</v>
      </c>
      <c r="G66" s="2">
        <f t="shared" ref="G66:M66" si="5">G65*3380</f>
        <v>1419600</v>
      </c>
      <c r="H66" s="2">
        <f t="shared" si="5"/>
        <v>1521000</v>
      </c>
      <c r="I66" s="2">
        <f t="shared" si="5"/>
        <v>1521000</v>
      </c>
      <c r="J66" s="2">
        <f t="shared" si="5"/>
        <v>1656200</v>
      </c>
      <c r="K66" s="2">
        <f t="shared" si="5"/>
        <v>1656200</v>
      </c>
      <c r="L66" s="2">
        <f t="shared" si="5"/>
        <v>1656200</v>
      </c>
      <c r="M66" s="2">
        <f t="shared" si="5"/>
        <v>1690000</v>
      </c>
      <c r="N66" s="2">
        <f>N65*E66</f>
        <v>1690000</v>
      </c>
      <c r="O66" s="2"/>
      <c r="P66" s="2"/>
      <c r="Q66" s="2"/>
      <c r="R66" s="3">
        <f>SUM(F66:Q66)</f>
        <v>14229800</v>
      </c>
    </row>
    <row r="67" spans="1:26">
      <c r="B67" t="s">
        <v>451</v>
      </c>
      <c r="E67" s="2"/>
      <c r="F67" s="2">
        <v>0</v>
      </c>
      <c r="G67" s="2">
        <v>0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505</v>
      </c>
      <c r="P67" s="2">
        <v>505</v>
      </c>
      <c r="Q67" s="2">
        <v>505</v>
      </c>
      <c r="R67" s="3"/>
      <c r="X67">
        <v>505</v>
      </c>
    </row>
    <row r="68" spans="1:26">
      <c r="E68" s="2">
        <v>5380</v>
      </c>
      <c r="F68" s="2">
        <f t="shared" ref="F68:G68" si="6">F$67*$E$68</f>
        <v>0</v>
      </c>
      <c r="G68" s="2">
        <f t="shared" si="6"/>
        <v>0</v>
      </c>
      <c r="H68" s="2">
        <f>H$67*$E$68</f>
        <v>26900</v>
      </c>
      <c r="I68" s="2">
        <f t="shared" ref="I68:Q68" si="7">I$67*$E$68</f>
        <v>26900</v>
      </c>
      <c r="J68" s="2">
        <f t="shared" si="7"/>
        <v>26900</v>
      </c>
      <c r="K68" s="2">
        <f t="shared" si="7"/>
        <v>26900</v>
      </c>
      <c r="L68" s="2">
        <f t="shared" si="7"/>
        <v>26900</v>
      </c>
      <c r="M68" s="2">
        <f t="shared" si="7"/>
        <v>26900</v>
      </c>
      <c r="N68" s="2">
        <f t="shared" si="7"/>
        <v>26900</v>
      </c>
      <c r="O68" s="2">
        <f t="shared" si="7"/>
        <v>2716900</v>
      </c>
      <c r="P68" s="2">
        <f t="shared" si="7"/>
        <v>2716900</v>
      </c>
      <c r="Q68" s="2">
        <f t="shared" si="7"/>
        <v>2716900</v>
      </c>
      <c r="R68" s="3">
        <f>SUM(F68:Q68)</f>
        <v>8339000</v>
      </c>
      <c r="X68">
        <v>3886.9999999999995</v>
      </c>
      <c r="Y68" s="8">
        <f>X67*X68*12</f>
        <v>23555219.999999996</v>
      </c>
      <c r="Z68" s="8">
        <f>Y68+X73</f>
        <v>38549220</v>
      </c>
    </row>
    <row r="69" spans="1:26" ht="18.600000000000001" thickBot="1">
      <c r="R69" s="6">
        <f>SUM(R66:R68)</f>
        <v>22568800</v>
      </c>
      <c r="T69" s="5">
        <v>20888400</v>
      </c>
      <c r="U69" s="3">
        <f>R69-T69</f>
        <v>1680400</v>
      </c>
    </row>
    <row r="70" spans="1:26" hidden="1" outlineLevel="1">
      <c r="A70">
        <v>2024</v>
      </c>
      <c r="E70" s="2"/>
      <c r="F70" s="2" t="s">
        <v>127</v>
      </c>
      <c r="G70" s="2" t="s">
        <v>128</v>
      </c>
      <c r="H70" s="2" t="s">
        <v>452</v>
      </c>
      <c r="I70" s="2" t="s">
        <v>130</v>
      </c>
      <c r="J70" s="2" t="s">
        <v>131</v>
      </c>
      <c r="K70" s="2" t="s">
        <v>132</v>
      </c>
      <c r="L70" s="2" t="s">
        <v>133</v>
      </c>
      <c r="M70" s="2" t="s">
        <v>134</v>
      </c>
      <c r="N70" s="2" t="s">
        <v>135</v>
      </c>
      <c r="O70" s="2" t="s">
        <v>136</v>
      </c>
      <c r="P70" s="2" t="s">
        <v>137</v>
      </c>
      <c r="Q70" s="2" t="s">
        <v>138</v>
      </c>
      <c r="R70" s="2"/>
    </row>
    <row r="71" spans="1:26" hidden="1" outlineLevel="1">
      <c r="B71" t="s">
        <v>453</v>
      </c>
      <c r="E71" s="2"/>
      <c r="F71" s="2">
        <v>605</v>
      </c>
      <c r="G71" s="2">
        <v>605</v>
      </c>
      <c r="H71" s="2">
        <v>605</v>
      </c>
      <c r="I71" s="2">
        <v>605</v>
      </c>
      <c r="J71" s="2">
        <v>605</v>
      </c>
      <c r="K71" s="2">
        <v>605</v>
      </c>
      <c r="L71" s="2">
        <v>605</v>
      </c>
      <c r="M71" s="2">
        <v>605</v>
      </c>
      <c r="N71" s="2">
        <v>605</v>
      </c>
      <c r="O71" s="2">
        <v>605</v>
      </c>
      <c r="P71" s="2">
        <v>605</v>
      </c>
      <c r="Q71" s="2">
        <v>605</v>
      </c>
      <c r="R71" s="2"/>
    </row>
    <row r="72" spans="1:26" hidden="1" outlineLevel="1">
      <c r="E72" s="2">
        <v>5380</v>
      </c>
      <c r="F72" s="2">
        <f>$E$72*F$71</f>
        <v>3254900</v>
      </c>
      <c r="G72" s="2">
        <f t="shared" ref="G72:H72" si="8">$E$72*G$71</f>
        <v>3254900</v>
      </c>
      <c r="H72" s="2">
        <f t="shared" si="8"/>
        <v>3254900</v>
      </c>
      <c r="I72" s="2"/>
      <c r="J72" s="2"/>
      <c r="K72" s="2"/>
      <c r="L72" s="2"/>
      <c r="M72" s="2"/>
      <c r="N72" s="2"/>
      <c r="O72" s="2"/>
      <c r="P72" s="2"/>
      <c r="Q72" s="2"/>
      <c r="R72" s="2">
        <f>SUM(F72:Q72)</f>
        <v>9764700</v>
      </c>
    </row>
    <row r="73" spans="1:26" hidden="1" outlineLevel="1">
      <c r="E73" s="2">
        <v>6188</v>
      </c>
      <c r="F73" s="2"/>
      <c r="G73" s="2"/>
      <c r="H73" s="2"/>
      <c r="I73" s="2">
        <f>$E$73*I$71</f>
        <v>3743740</v>
      </c>
      <c r="J73" s="2">
        <f t="shared" ref="J73:Q73" si="9">$E$73*J$71</f>
        <v>3743740</v>
      </c>
      <c r="K73" s="2">
        <f t="shared" si="9"/>
        <v>3743740</v>
      </c>
      <c r="L73" s="2">
        <f t="shared" si="9"/>
        <v>3743740</v>
      </c>
      <c r="M73" s="2">
        <f t="shared" si="9"/>
        <v>3743740</v>
      </c>
      <c r="N73" s="2">
        <f t="shared" si="9"/>
        <v>3743740</v>
      </c>
      <c r="O73" s="2">
        <f t="shared" si="9"/>
        <v>3743740</v>
      </c>
      <c r="P73" s="2">
        <f t="shared" si="9"/>
        <v>3743740</v>
      </c>
      <c r="Q73" s="2">
        <f t="shared" si="9"/>
        <v>3743740</v>
      </c>
      <c r="R73" s="2">
        <f>SUM(F73:Q73)</f>
        <v>33693660</v>
      </c>
      <c r="V73" s="9">
        <v>13794000</v>
      </c>
      <c r="W73">
        <v>1200000</v>
      </c>
      <c r="X73" s="1">
        <f>SUM(V73:W73)</f>
        <v>14994000</v>
      </c>
      <c r="Y73" s="3">
        <f>R74-X73</f>
        <v>28464360</v>
      </c>
    </row>
    <row r="74" spans="1:26" hidden="1" outlineLevel="1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>
        <f>SUM(R72:R73)</f>
        <v>43458360</v>
      </c>
      <c r="S74" t="s">
        <v>454</v>
      </c>
      <c r="X74" s="9"/>
    </row>
    <row r="75" spans="1:26" hidden="1" outlineLevel="1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7"/>
      <c r="X75" s="32"/>
    </row>
    <row r="76" spans="1:26" hidden="1" outlineLevel="1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7"/>
      <c r="X76" s="32"/>
    </row>
    <row r="77" spans="1:26" ht="18.600000000000001" collapsed="1" thickTop="1">
      <c r="A77" s="44"/>
      <c r="B77" s="45"/>
      <c r="C77" s="45"/>
      <c r="D77" s="45"/>
      <c r="E77" s="46"/>
      <c r="F77" s="46" t="s">
        <v>127</v>
      </c>
      <c r="G77" s="46" t="s">
        <v>128</v>
      </c>
      <c r="H77" s="46" t="s">
        <v>452</v>
      </c>
      <c r="I77" s="46" t="s">
        <v>130</v>
      </c>
      <c r="J77" s="46" t="s">
        <v>131</v>
      </c>
      <c r="K77" s="46" t="s">
        <v>132</v>
      </c>
      <c r="L77" s="46" t="s">
        <v>133</v>
      </c>
      <c r="M77" s="46" t="s">
        <v>134</v>
      </c>
      <c r="N77" s="46" t="s">
        <v>135</v>
      </c>
      <c r="O77" s="46" t="s">
        <v>136</v>
      </c>
      <c r="P77" s="46" t="s">
        <v>137</v>
      </c>
      <c r="Q77" s="46" t="s">
        <v>138</v>
      </c>
      <c r="R77" s="47"/>
      <c r="X77" s="32"/>
    </row>
    <row r="78" spans="1:26">
      <c r="A78" s="48">
        <v>2024</v>
      </c>
      <c r="B78" t="s">
        <v>455</v>
      </c>
      <c r="E78" s="31"/>
      <c r="F78" s="31">
        <v>2754900</v>
      </c>
      <c r="G78" s="31">
        <v>2854900</v>
      </c>
      <c r="H78" s="31">
        <v>3254900</v>
      </c>
      <c r="I78" s="31">
        <v>3743740</v>
      </c>
      <c r="J78" s="31">
        <v>3743740</v>
      </c>
      <c r="K78" s="31">
        <v>3743740</v>
      </c>
      <c r="L78" s="31">
        <v>3743740</v>
      </c>
      <c r="M78" s="31">
        <v>3743740</v>
      </c>
      <c r="N78" s="31">
        <v>3743740</v>
      </c>
      <c r="O78" s="31">
        <v>3743740</v>
      </c>
      <c r="P78" s="31">
        <v>3743740</v>
      </c>
      <c r="Q78" s="31">
        <v>3743740</v>
      </c>
      <c r="R78" s="88">
        <f>SUM(F78:Q78)</f>
        <v>42558360</v>
      </c>
      <c r="X78" s="32"/>
    </row>
    <row r="79" spans="1:26">
      <c r="A79" s="48"/>
      <c r="B79" t="s">
        <v>456</v>
      </c>
      <c r="E79" s="31"/>
      <c r="F79" s="31">
        <f>F$78/$E$81</f>
        <v>512.06319702602229</v>
      </c>
      <c r="G79" s="31">
        <f t="shared" ref="G79:H79" si="10">G$78/$E$81</f>
        <v>530.65055762081784</v>
      </c>
      <c r="H79" s="31">
        <f t="shared" si="10"/>
        <v>605</v>
      </c>
      <c r="I79" s="31"/>
      <c r="J79" s="31"/>
      <c r="K79" s="31"/>
      <c r="L79" s="31"/>
      <c r="M79" s="31"/>
      <c r="N79" s="31"/>
      <c r="O79" s="31"/>
      <c r="P79" s="31"/>
      <c r="Q79" s="31"/>
      <c r="R79" s="49"/>
      <c r="X79" s="32"/>
    </row>
    <row r="80" spans="1:26">
      <c r="A80" s="48"/>
      <c r="B80" t="s">
        <v>457</v>
      </c>
      <c r="E80" s="31"/>
      <c r="F80" s="125">
        <v>510</v>
      </c>
      <c r="G80" s="125">
        <v>530</v>
      </c>
      <c r="H80" s="125">
        <v>545</v>
      </c>
      <c r="I80" s="125">
        <v>545</v>
      </c>
      <c r="J80" s="125">
        <v>545</v>
      </c>
      <c r="K80" s="125">
        <v>545</v>
      </c>
      <c r="L80" s="125">
        <v>545</v>
      </c>
      <c r="M80" s="125">
        <v>545</v>
      </c>
      <c r="N80" s="125">
        <v>565</v>
      </c>
      <c r="O80" s="126">
        <v>565</v>
      </c>
      <c r="P80" s="126">
        <v>565</v>
      </c>
      <c r="Q80" s="126">
        <v>565</v>
      </c>
      <c r="R80" s="49"/>
      <c r="X80" s="32"/>
    </row>
    <row r="81" spans="1:24">
      <c r="A81" s="48"/>
      <c r="B81" t="s">
        <v>458</v>
      </c>
      <c r="E81" s="31">
        <v>5380</v>
      </c>
      <c r="F81" s="31">
        <f>F80*E81</f>
        <v>2743800</v>
      </c>
      <c r="G81" s="31">
        <f>G80*E81</f>
        <v>2851400</v>
      </c>
      <c r="H81" s="31">
        <f>H80*E81</f>
        <v>2932100</v>
      </c>
      <c r="R81" s="49">
        <f>SUM(F81:Q81)</f>
        <v>8527300</v>
      </c>
      <c r="X81" s="32"/>
    </row>
    <row r="82" spans="1:24">
      <c r="A82" s="48"/>
      <c r="E82" s="31">
        <v>6188</v>
      </c>
      <c r="F82" s="31"/>
      <c r="G82" s="31"/>
      <c r="H82" s="31"/>
      <c r="I82" s="31">
        <f>$E$82*I$80</f>
        <v>3372460</v>
      </c>
      <c r="J82" s="31">
        <f t="shared" ref="J82:Q82" si="11">$E$82*J$80</f>
        <v>3372460</v>
      </c>
      <c r="K82" s="31">
        <f t="shared" si="11"/>
        <v>3372460</v>
      </c>
      <c r="L82" s="31">
        <f t="shared" si="11"/>
        <v>3372460</v>
      </c>
      <c r="M82" s="31">
        <f t="shared" si="11"/>
        <v>3372460</v>
      </c>
      <c r="N82" s="31">
        <f t="shared" si="11"/>
        <v>3496220</v>
      </c>
      <c r="O82" s="31">
        <f t="shared" si="11"/>
        <v>3496220</v>
      </c>
      <c r="P82" s="31">
        <f t="shared" si="11"/>
        <v>3496220</v>
      </c>
      <c r="Q82" s="31">
        <f t="shared" si="11"/>
        <v>3496220</v>
      </c>
      <c r="R82" s="49">
        <f>SUM(F82:Q82)</f>
        <v>30847180</v>
      </c>
      <c r="X82" s="32"/>
    </row>
    <row r="83" spans="1:24">
      <c r="A83" s="48"/>
      <c r="B83" t="s">
        <v>149</v>
      </c>
      <c r="E83" s="31"/>
      <c r="F83" s="31">
        <f>F$81-F$78</f>
        <v>-11100</v>
      </c>
      <c r="G83" s="31">
        <f>G$81-G$78</f>
        <v>-3500</v>
      </c>
      <c r="H83" s="31">
        <f>H$81-H$78</f>
        <v>-322800</v>
      </c>
      <c r="I83" s="31"/>
      <c r="J83" s="31"/>
      <c r="K83" s="31"/>
      <c r="L83" s="31"/>
      <c r="M83" s="31"/>
      <c r="N83" s="31"/>
      <c r="O83" s="31"/>
      <c r="P83" s="31"/>
      <c r="Q83" s="31"/>
      <c r="R83" s="88">
        <f>SUM(R81:R82)</f>
        <v>39374480</v>
      </c>
      <c r="S83" s="11">
        <f>SUM(S81:S82)</f>
        <v>0</v>
      </c>
      <c r="X83" s="32"/>
    </row>
    <row r="84" spans="1:24" ht="18.600000000000001" thickBot="1">
      <c r="A84" s="50"/>
      <c r="B84" s="51"/>
      <c r="C84" s="51"/>
      <c r="D84" s="51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86" t="s">
        <v>164</v>
      </c>
      <c r="R84" s="87">
        <f>R78-R83</f>
        <v>3183880</v>
      </c>
      <c r="X84" s="32"/>
    </row>
    <row r="85" spans="1:24" ht="18.600000000000001" thickTop="1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11"/>
      <c r="X85" s="32"/>
    </row>
    <row r="86" spans="1:24">
      <c r="E86" s="2"/>
      <c r="F86" s="2" t="s">
        <v>127</v>
      </c>
      <c r="G86" s="2" t="s">
        <v>128</v>
      </c>
      <c r="H86" s="2" t="s">
        <v>452</v>
      </c>
      <c r="I86" s="2" t="s">
        <v>130</v>
      </c>
      <c r="J86" s="2" t="s">
        <v>131</v>
      </c>
      <c r="K86" s="2" t="s">
        <v>132</v>
      </c>
      <c r="L86" s="2" t="s">
        <v>133</v>
      </c>
      <c r="M86" s="2" t="s">
        <v>134</v>
      </c>
      <c r="N86" s="2" t="s">
        <v>135</v>
      </c>
      <c r="O86" s="2" t="s">
        <v>136</v>
      </c>
      <c r="P86" s="2" t="s">
        <v>137</v>
      </c>
      <c r="Q86" s="2" t="s">
        <v>138</v>
      </c>
      <c r="R86" s="33"/>
      <c r="X86" s="32"/>
    </row>
    <row r="87" spans="1:24">
      <c r="A87">
        <v>2024</v>
      </c>
      <c r="B87" t="s">
        <v>453</v>
      </c>
      <c r="F87">
        <v>505</v>
      </c>
      <c r="G87">
        <v>505</v>
      </c>
      <c r="H87">
        <f>G$87+H$88</f>
        <v>550</v>
      </c>
      <c r="I87">
        <f t="shared" ref="I87:Q87" si="12">H$87+I$88</f>
        <v>550</v>
      </c>
      <c r="J87">
        <f t="shared" si="12"/>
        <v>570</v>
      </c>
      <c r="K87">
        <f t="shared" si="12"/>
        <v>570</v>
      </c>
      <c r="L87">
        <f t="shared" si="12"/>
        <v>590</v>
      </c>
      <c r="M87">
        <f t="shared" si="12"/>
        <v>590</v>
      </c>
      <c r="N87">
        <f t="shared" si="12"/>
        <v>605</v>
      </c>
      <c r="O87">
        <f t="shared" si="12"/>
        <v>605</v>
      </c>
      <c r="P87">
        <f t="shared" si="12"/>
        <v>605</v>
      </c>
      <c r="Q87">
        <f t="shared" si="12"/>
        <v>605</v>
      </c>
    </row>
    <row r="88" spans="1:24">
      <c r="B88" t="s">
        <v>406</v>
      </c>
      <c r="G88">
        <v>10</v>
      </c>
      <c r="H88">
        <v>45</v>
      </c>
      <c r="J88">
        <v>20</v>
      </c>
      <c r="L88">
        <v>20</v>
      </c>
      <c r="N88">
        <v>15</v>
      </c>
    </row>
    <row r="89" spans="1:24">
      <c r="E89" s="2">
        <v>5380</v>
      </c>
      <c r="F89" s="2">
        <f>E89*F87</f>
        <v>2716900</v>
      </c>
      <c r="G89" s="2">
        <f>E89*G87</f>
        <v>2716900</v>
      </c>
      <c r="H89" s="2">
        <f>E89*H87</f>
        <v>2959000</v>
      </c>
      <c r="I89" s="2"/>
      <c r="J89" s="2"/>
      <c r="K89" s="2"/>
      <c r="L89" s="2"/>
      <c r="M89" s="2"/>
      <c r="N89" s="2"/>
      <c r="O89" s="2"/>
      <c r="P89" s="2"/>
      <c r="Q89" s="2"/>
      <c r="R89" s="3">
        <f>SUM(F89:Q89)</f>
        <v>8392800</v>
      </c>
    </row>
    <row r="90" spans="1:24">
      <c r="E90" s="2">
        <v>6188</v>
      </c>
      <c r="F90" s="2"/>
      <c r="G90" s="2"/>
      <c r="H90" s="2"/>
      <c r="I90" s="2">
        <f>E90*I87</f>
        <v>3403400</v>
      </c>
      <c r="J90" s="2">
        <f>E90*J87</f>
        <v>3527160</v>
      </c>
      <c r="K90" s="2">
        <f>E90*K87</f>
        <v>3527160</v>
      </c>
      <c r="L90" s="2">
        <f>E90*L87</f>
        <v>3650920</v>
      </c>
      <c r="M90" s="2">
        <f>E90*M87</f>
        <v>3650920</v>
      </c>
      <c r="N90" s="2">
        <f>E90*N87</f>
        <v>3743740</v>
      </c>
      <c r="O90" s="2">
        <f>E90*O87</f>
        <v>3743740</v>
      </c>
      <c r="P90" s="2">
        <f>E90*P87</f>
        <v>3743740</v>
      </c>
      <c r="Q90" s="2">
        <f>E90*Q87</f>
        <v>3743740</v>
      </c>
      <c r="R90" s="3">
        <f>SUM(F90:Q90)</f>
        <v>32734520</v>
      </c>
    </row>
    <row r="91" spans="1:24">
      <c r="F91" s="3">
        <f>F$72-1000000</f>
        <v>2254900</v>
      </c>
      <c r="G91" s="3">
        <f t="shared" ref="G91:H91" si="13">G$72-1000000</f>
        <v>2254900</v>
      </c>
      <c r="H91" s="6">
        <f t="shared" si="13"/>
        <v>2254900</v>
      </c>
      <c r="R91" s="24">
        <f>SUM(R89:R90)</f>
        <v>41127320</v>
      </c>
      <c r="S91" t="s">
        <v>459</v>
      </c>
    </row>
    <row r="92" spans="1:24">
      <c r="F92" s="3">
        <f>F89-F72</f>
        <v>-538000</v>
      </c>
      <c r="G92">
        <f>G72-(E89*515)</f>
        <v>484200</v>
      </c>
      <c r="Q92" s="34" t="s">
        <v>164</v>
      </c>
      <c r="R92" s="6">
        <f>R91-R74</f>
        <v>-2331040</v>
      </c>
    </row>
    <row r="96" spans="1:24">
      <c r="A96" t="s">
        <v>460</v>
      </c>
    </row>
    <row r="97" spans="1:26">
      <c r="R97" s="1">
        <v>11200008</v>
      </c>
    </row>
    <row r="98" spans="1:26">
      <c r="W98">
        <v>5380</v>
      </c>
      <c r="X98">
        <v>500</v>
      </c>
      <c r="Y98" s="8">
        <f>X98*W98</f>
        <v>2690000</v>
      </c>
    </row>
    <row r="99" spans="1:26">
      <c r="W99">
        <v>6188</v>
      </c>
      <c r="X99">
        <v>500</v>
      </c>
      <c r="Y99" s="8">
        <f>X99*W99</f>
        <v>3094000</v>
      </c>
    </row>
    <row r="100" spans="1:26">
      <c r="A100" t="s">
        <v>461</v>
      </c>
      <c r="F100">
        <v>1</v>
      </c>
      <c r="G100">
        <v>2</v>
      </c>
      <c r="H100">
        <v>3</v>
      </c>
      <c r="I100">
        <v>4</v>
      </c>
      <c r="J100">
        <v>5</v>
      </c>
      <c r="K100">
        <v>6</v>
      </c>
      <c r="L100">
        <v>7</v>
      </c>
      <c r="M100">
        <v>8</v>
      </c>
      <c r="N100">
        <v>9</v>
      </c>
      <c r="O100">
        <v>10</v>
      </c>
      <c r="P100">
        <v>11</v>
      </c>
      <c r="Q100">
        <v>12</v>
      </c>
      <c r="Y100" s="8">
        <f>Y99-Y98</f>
        <v>404000</v>
      </c>
      <c r="Z100" s="8">
        <f>Y100*3</f>
        <v>1212000</v>
      </c>
    </row>
    <row r="101" spans="1:26">
      <c r="F101">
        <v>515</v>
      </c>
      <c r="G101">
        <v>515</v>
      </c>
      <c r="H101">
        <v>515</v>
      </c>
      <c r="I101">
        <v>515</v>
      </c>
      <c r="J101">
        <v>515</v>
      </c>
      <c r="K101">
        <v>515</v>
      </c>
      <c r="L101">
        <v>515</v>
      </c>
      <c r="M101">
        <v>515</v>
      </c>
      <c r="N101">
        <v>515</v>
      </c>
      <c r="O101">
        <v>515</v>
      </c>
      <c r="P101">
        <v>515</v>
      </c>
      <c r="Q101">
        <v>515</v>
      </c>
    </row>
    <row r="102" spans="1:26">
      <c r="E102" t="s">
        <v>462</v>
      </c>
      <c r="F102" s="8">
        <f t="shared" ref="F102:Q102" si="14">3380*F101</f>
        <v>1740700</v>
      </c>
      <c r="G102" s="8">
        <f t="shared" si="14"/>
        <v>1740700</v>
      </c>
      <c r="H102" s="8">
        <f t="shared" si="14"/>
        <v>1740700</v>
      </c>
      <c r="I102" s="8">
        <f t="shared" si="14"/>
        <v>1740700</v>
      </c>
      <c r="J102" s="8">
        <f t="shared" si="14"/>
        <v>1740700</v>
      </c>
      <c r="K102" s="8">
        <f t="shared" si="14"/>
        <v>1740700</v>
      </c>
      <c r="L102" s="8">
        <f t="shared" si="14"/>
        <v>1740700</v>
      </c>
      <c r="M102" s="8">
        <f t="shared" si="14"/>
        <v>1740700</v>
      </c>
      <c r="N102" s="8">
        <f t="shared" si="14"/>
        <v>1740700</v>
      </c>
      <c r="O102" s="8">
        <f t="shared" si="14"/>
        <v>1740700</v>
      </c>
      <c r="P102" s="8">
        <f t="shared" si="14"/>
        <v>1740700</v>
      </c>
      <c r="Q102" s="8">
        <f t="shared" si="14"/>
        <v>1740700</v>
      </c>
      <c r="R102" s="8">
        <f>SUM(F102:Q102)</f>
        <v>20888400</v>
      </c>
    </row>
    <row r="103" spans="1:26">
      <c r="F103" s="3">
        <f t="shared" ref="F103:Q103" si="15">F67+F65</f>
        <v>420</v>
      </c>
      <c r="G103" s="3">
        <f t="shared" si="15"/>
        <v>420</v>
      </c>
      <c r="H103" s="3">
        <f t="shared" si="15"/>
        <v>455</v>
      </c>
      <c r="I103" s="3">
        <f t="shared" si="15"/>
        <v>455</v>
      </c>
      <c r="J103" s="3">
        <f t="shared" si="15"/>
        <v>495</v>
      </c>
      <c r="K103" s="3">
        <f t="shared" si="15"/>
        <v>495</v>
      </c>
      <c r="L103" s="3">
        <f t="shared" si="15"/>
        <v>495</v>
      </c>
      <c r="M103" s="3">
        <f t="shared" si="15"/>
        <v>505</v>
      </c>
      <c r="N103" s="3">
        <f t="shared" si="15"/>
        <v>505</v>
      </c>
      <c r="O103" s="3">
        <f t="shared" si="15"/>
        <v>505</v>
      </c>
      <c r="P103" s="3">
        <f t="shared" si="15"/>
        <v>505</v>
      </c>
      <c r="Q103" s="3">
        <f t="shared" si="15"/>
        <v>505</v>
      </c>
    </row>
    <row r="104" spans="1:26">
      <c r="E104" t="s">
        <v>446</v>
      </c>
      <c r="F104" s="8">
        <f>3380*F103</f>
        <v>1419600</v>
      </c>
      <c r="G104" s="8">
        <f t="shared" ref="G104" si="16">3380*G103</f>
        <v>1419600</v>
      </c>
      <c r="H104" s="8">
        <f t="shared" ref="H104:Q104" si="17">H66+H68</f>
        <v>1547900</v>
      </c>
      <c r="I104" s="8">
        <f t="shared" si="17"/>
        <v>1547900</v>
      </c>
      <c r="J104" s="8">
        <f t="shared" si="17"/>
        <v>1683100</v>
      </c>
      <c r="K104" s="8">
        <f t="shared" si="17"/>
        <v>1683100</v>
      </c>
      <c r="L104" s="8">
        <f t="shared" si="17"/>
        <v>1683100</v>
      </c>
      <c r="M104" s="8">
        <f t="shared" si="17"/>
        <v>1716900</v>
      </c>
      <c r="N104" s="8">
        <f t="shared" si="17"/>
        <v>1716900</v>
      </c>
      <c r="O104" s="8">
        <f t="shared" si="17"/>
        <v>2716900</v>
      </c>
      <c r="P104" s="8">
        <f t="shared" si="17"/>
        <v>2716900</v>
      </c>
      <c r="Q104" s="8">
        <f t="shared" si="17"/>
        <v>2716900</v>
      </c>
      <c r="R104" s="8">
        <f>SUM(F104:Q104)</f>
        <v>22568800</v>
      </c>
      <c r="U104" s="8">
        <f>R102+N107</f>
        <v>23128401.600000001</v>
      </c>
    </row>
    <row r="105" spans="1:26">
      <c r="Q105" s="8"/>
    </row>
    <row r="106" spans="1:26">
      <c r="N106" t="s">
        <v>463</v>
      </c>
      <c r="Q106" t="s">
        <v>464</v>
      </c>
      <c r="R106" s="8">
        <f>R104-R102</f>
        <v>1680400</v>
      </c>
    </row>
    <row r="107" spans="1:26">
      <c r="N107" s="8">
        <f>R97/5</f>
        <v>2240001.6</v>
      </c>
      <c r="P107" t="s">
        <v>465</v>
      </c>
      <c r="R107" s="8">
        <f>R106-N107</f>
        <v>-559601.60000000009</v>
      </c>
    </row>
    <row r="108" spans="1:26">
      <c r="N108" s="3"/>
      <c r="R108" s="8"/>
    </row>
    <row r="110" spans="1:26">
      <c r="F110" t="s">
        <v>127</v>
      </c>
      <c r="G110" t="s">
        <v>159</v>
      </c>
      <c r="H110" t="s">
        <v>129</v>
      </c>
      <c r="I110" t="s">
        <v>130</v>
      </c>
      <c r="J110" t="s">
        <v>131</v>
      </c>
      <c r="K110" t="s">
        <v>132</v>
      </c>
      <c r="L110" t="s">
        <v>133</v>
      </c>
      <c r="M110" t="s">
        <v>134</v>
      </c>
      <c r="N110" t="s">
        <v>135</v>
      </c>
      <c r="O110" t="s">
        <v>136</v>
      </c>
      <c r="P110" t="s">
        <v>137</v>
      </c>
      <c r="Q110" t="s">
        <v>138</v>
      </c>
    </row>
    <row r="111" spans="1:26">
      <c r="F111" s="124">
        <f t="shared" ref="F111:Q111" si="18">$E$112*F112+$E$113*F113</f>
        <v>3434340</v>
      </c>
      <c r="G111" s="124">
        <f t="shared" si="18"/>
        <v>3527160</v>
      </c>
      <c r="H111" s="124">
        <f t="shared" si="18"/>
        <v>3527160</v>
      </c>
      <c r="I111" s="124">
        <f t="shared" si="18"/>
        <v>4267060</v>
      </c>
      <c r="J111" s="124">
        <f t="shared" si="18"/>
        <v>4340630</v>
      </c>
      <c r="K111" s="124">
        <f t="shared" si="18"/>
        <v>4414200</v>
      </c>
      <c r="L111" s="124">
        <f t="shared" si="18"/>
        <v>4414200</v>
      </c>
      <c r="M111" s="124">
        <f t="shared" si="18"/>
        <v>4414200</v>
      </c>
      <c r="N111" s="124">
        <f t="shared" si="18"/>
        <v>4487770</v>
      </c>
      <c r="O111" s="124">
        <f t="shared" si="18"/>
        <v>4561340</v>
      </c>
      <c r="P111" s="124">
        <f t="shared" si="18"/>
        <v>4561340</v>
      </c>
      <c r="Q111" s="124">
        <f t="shared" si="18"/>
        <v>4561340</v>
      </c>
      <c r="R111" s="24">
        <f>SUM(F111:Q111)</f>
        <v>50510740</v>
      </c>
    </row>
    <row r="112" spans="1:26">
      <c r="E112">
        <v>6188</v>
      </c>
      <c r="F112" s="2">
        <v>555</v>
      </c>
      <c r="G112" s="2">
        <v>570</v>
      </c>
      <c r="H112" s="2">
        <v>570</v>
      </c>
      <c r="I112" s="2"/>
      <c r="Q112" s="2"/>
      <c r="R112" s="3"/>
    </row>
    <row r="113" spans="5:18">
      <c r="E113">
        <v>7357</v>
      </c>
      <c r="F113" s="2"/>
      <c r="G113" s="2"/>
      <c r="H113" s="2"/>
      <c r="I113" s="2">
        <v>580</v>
      </c>
      <c r="J113" s="2">
        <v>590</v>
      </c>
      <c r="K113" s="2">
        <v>600</v>
      </c>
      <c r="L113" s="2">
        <v>600</v>
      </c>
      <c r="M113" s="2">
        <v>600</v>
      </c>
      <c r="N113" s="2">
        <v>610</v>
      </c>
      <c r="O113" s="2">
        <v>620</v>
      </c>
      <c r="P113" s="2">
        <v>620</v>
      </c>
      <c r="Q113" s="2">
        <v>620</v>
      </c>
      <c r="R113" s="3"/>
    </row>
    <row r="114" spans="5:18">
      <c r="E114" s="1">
        <v>4508</v>
      </c>
      <c r="F114">
        <v>30</v>
      </c>
      <c r="G114">
        <v>30</v>
      </c>
      <c r="H114">
        <v>30</v>
      </c>
      <c r="I114">
        <v>30</v>
      </c>
      <c r="J114">
        <v>30</v>
      </c>
      <c r="K114">
        <v>30</v>
      </c>
      <c r="L114">
        <v>30</v>
      </c>
      <c r="M114">
        <v>30</v>
      </c>
      <c r="N114">
        <v>30</v>
      </c>
      <c r="O114">
        <v>30</v>
      </c>
      <c r="P114">
        <v>30</v>
      </c>
      <c r="Q114">
        <v>30</v>
      </c>
    </row>
    <row r="118" spans="5:18">
      <c r="F118" t="s">
        <v>127</v>
      </c>
      <c r="G118" t="s">
        <v>159</v>
      </c>
      <c r="H118" t="s">
        <v>129</v>
      </c>
      <c r="I118" t="s">
        <v>130</v>
      </c>
      <c r="J118" t="s">
        <v>131</v>
      </c>
      <c r="K118" t="s">
        <v>132</v>
      </c>
      <c r="L118" t="s">
        <v>133</v>
      </c>
      <c r="M118" t="s">
        <v>134</v>
      </c>
      <c r="N118" t="s">
        <v>135</v>
      </c>
      <c r="O118" t="s">
        <v>136</v>
      </c>
      <c r="P118" t="s">
        <v>137</v>
      </c>
      <c r="Q118" t="s">
        <v>138</v>
      </c>
    </row>
    <row r="119" spans="5:18">
      <c r="F119" s="124">
        <f t="shared" ref="F119:Q119" si="19">$E$112*F120+$E$113*F121</f>
        <v>3434340</v>
      </c>
      <c r="G119" s="124">
        <f t="shared" si="19"/>
        <v>3527160</v>
      </c>
      <c r="H119" s="124">
        <f t="shared" si="19"/>
        <v>3527160</v>
      </c>
      <c r="I119" s="124">
        <f t="shared" si="19"/>
        <v>4267060</v>
      </c>
      <c r="J119" s="124">
        <f t="shared" si="19"/>
        <v>4340630</v>
      </c>
      <c r="K119" s="124">
        <f t="shared" si="19"/>
        <v>4414200</v>
      </c>
      <c r="L119" s="124">
        <f t="shared" si="19"/>
        <v>4414200</v>
      </c>
      <c r="M119" s="124">
        <f t="shared" si="19"/>
        <v>4414200</v>
      </c>
      <c r="N119" s="124">
        <f t="shared" si="19"/>
        <v>4487770</v>
      </c>
      <c r="O119" s="124">
        <f t="shared" si="19"/>
        <v>4561340</v>
      </c>
      <c r="P119" s="124">
        <f t="shared" si="19"/>
        <v>4561340</v>
      </c>
      <c r="Q119" s="124">
        <f t="shared" si="19"/>
        <v>4561340</v>
      </c>
      <c r="R119" s="24">
        <f>SUM(F119:Q119)</f>
        <v>50510740</v>
      </c>
    </row>
    <row r="120" spans="5:18">
      <c r="E120">
        <v>6188</v>
      </c>
      <c r="F120" s="2">
        <v>555</v>
      </c>
      <c r="G120" s="2">
        <v>570</v>
      </c>
      <c r="H120" s="2">
        <v>570</v>
      </c>
      <c r="I120" s="2"/>
      <c r="Q120" s="2"/>
      <c r="R120" s="3"/>
    </row>
    <row r="121" spans="5:18">
      <c r="E121">
        <v>7357</v>
      </c>
      <c r="F121" s="2"/>
      <c r="G121" s="2"/>
      <c r="H121" s="2"/>
      <c r="I121" s="2">
        <v>580</v>
      </c>
      <c r="J121" s="2">
        <v>590</v>
      </c>
      <c r="K121" s="2">
        <v>600</v>
      </c>
      <c r="L121" s="2">
        <v>600</v>
      </c>
      <c r="M121" s="2">
        <v>600</v>
      </c>
      <c r="N121" s="2">
        <v>610</v>
      </c>
      <c r="O121" s="2">
        <v>620</v>
      </c>
      <c r="P121" s="2">
        <v>620</v>
      </c>
      <c r="Q121" s="2">
        <v>620</v>
      </c>
      <c r="R121" s="3"/>
    </row>
    <row r="122" spans="5:18">
      <c r="E122" s="1">
        <v>3448</v>
      </c>
      <c r="F122">
        <v>30</v>
      </c>
      <c r="G122">
        <v>30</v>
      </c>
      <c r="H122">
        <v>30</v>
      </c>
      <c r="I122">
        <v>30</v>
      </c>
      <c r="J122">
        <v>30</v>
      </c>
      <c r="K122">
        <v>30</v>
      </c>
      <c r="L122">
        <v>30</v>
      </c>
      <c r="M122">
        <v>30</v>
      </c>
      <c r="N122">
        <v>30</v>
      </c>
      <c r="O122">
        <v>30</v>
      </c>
      <c r="P122">
        <v>30</v>
      </c>
      <c r="Q122">
        <v>30</v>
      </c>
    </row>
    <row r="125" spans="5:18">
      <c r="F125" s="216">
        <f t="shared" ref="F125:Q125" si="20">F126*$E$126+F127*$E$127+F128*$E$128</f>
        <v>3352140</v>
      </c>
      <c r="G125" s="216">
        <f t="shared" si="20"/>
        <v>3444960</v>
      </c>
      <c r="H125" s="216">
        <f t="shared" si="20"/>
        <v>3444960</v>
      </c>
      <c r="I125" s="216">
        <f t="shared" si="20"/>
        <v>4149790</v>
      </c>
      <c r="J125" s="216">
        <f t="shared" si="20"/>
        <v>4223360</v>
      </c>
      <c r="K125" s="216">
        <f t="shared" si="20"/>
        <v>4296930</v>
      </c>
      <c r="L125" s="216">
        <f t="shared" si="20"/>
        <v>4296930</v>
      </c>
      <c r="M125" s="216">
        <f t="shared" si="20"/>
        <v>4296930</v>
      </c>
      <c r="N125" s="216">
        <f t="shared" si="20"/>
        <v>4370500</v>
      </c>
      <c r="O125" s="216">
        <f t="shared" si="20"/>
        <v>4444070</v>
      </c>
      <c r="P125" s="216">
        <f t="shared" si="20"/>
        <v>4444070</v>
      </c>
      <c r="Q125" s="216">
        <f t="shared" si="20"/>
        <v>4444070</v>
      </c>
      <c r="R125">
        <f>SUM(F125:Q125)</f>
        <v>49208710</v>
      </c>
    </row>
    <row r="126" spans="5:18">
      <c r="E126">
        <v>6188</v>
      </c>
      <c r="F126" s="3">
        <f>F120-F122</f>
        <v>525</v>
      </c>
      <c r="G126" s="3">
        <f>G120-G122</f>
        <v>540</v>
      </c>
      <c r="H126" s="3">
        <f>H120-H122</f>
        <v>540</v>
      </c>
    </row>
    <row r="127" spans="5:18">
      <c r="E127">
        <v>7357</v>
      </c>
      <c r="I127" s="3">
        <f t="shared" ref="I127:Q127" si="21">I121-I122</f>
        <v>550</v>
      </c>
      <c r="J127" s="3">
        <f t="shared" si="21"/>
        <v>560</v>
      </c>
      <c r="K127" s="3">
        <f t="shared" si="21"/>
        <v>570</v>
      </c>
      <c r="L127" s="3">
        <f t="shared" si="21"/>
        <v>570</v>
      </c>
      <c r="M127" s="3">
        <f t="shared" si="21"/>
        <v>570</v>
      </c>
      <c r="N127" s="3">
        <f t="shared" si="21"/>
        <v>580</v>
      </c>
      <c r="O127" s="3">
        <f t="shared" si="21"/>
        <v>590</v>
      </c>
      <c r="P127" s="3">
        <f t="shared" si="21"/>
        <v>590</v>
      </c>
      <c r="Q127" s="3">
        <f t="shared" si="21"/>
        <v>590</v>
      </c>
    </row>
    <row r="128" spans="5:18">
      <c r="E128" s="1">
        <v>3448</v>
      </c>
      <c r="F128">
        <v>30</v>
      </c>
      <c r="G128">
        <v>30</v>
      </c>
      <c r="H128">
        <v>30</v>
      </c>
      <c r="I128">
        <v>30</v>
      </c>
      <c r="J128">
        <v>30</v>
      </c>
      <c r="K128">
        <v>30</v>
      </c>
      <c r="L128">
        <v>30</v>
      </c>
      <c r="M128">
        <v>30</v>
      </c>
      <c r="N128">
        <v>30</v>
      </c>
      <c r="O128">
        <v>30</v>
      </c>
      <c r="P128">
        <v>30</v>
      </c>
      <c r="Q128">
        <v>30</v>
      </c>
    </row>
  </sheetData>
  <phoneticPr fontId="6"/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854C-6320-42BA-B7BB-DED24D89F67D}">
  <sheetPr codeName="Sheet25">
    <tabColor rgb="FFFFC000"/>
  </sheetPr>
  <dimension ref="A6:U21"/>
  <sheetViews>
    <sheetView topLeftCell="C4" zoomScale="85" zoomScaleNormal="85" workbookViewId="0">
      <selection activeCell="K20" sqref="K20"/>
    </sheetView>
  </sheetViews>
  <sheetFormatPr defaultRowHeight="18"/>
  <cols>
    <col min="1" max="1" width="25.125" bestFit="1" customWidth="1"/>
    <col min="2" max="2" width="18.375" customWidth="1"/>
    <col min="3" max="3" width="13.875" customWidth="1"/>
    <col min="4" max="4" width="11" customWidth="1"/>
    <col min="5" max="5" width="17.25" bestFit="1" customWidth="1"/>
    <col min="17" max="17" width="14.875" customWidth="1"/>
  </cols>
  <sheetData>
    <row r="6" spans="1:21">
      <c r="F6" t="s">
        <v>147</v>
      </c>
      <c r="I6" t="s">
        <v>123</v>
      </c>
      <c r="N6" t="s">
        <v>124</v>
      </c>
    </row>
    <row r="7" spans="1:21">
      <c r="F7" t="s">
        <v>246</v>
      </c>
      <c r="G7" t="s">
        <v>153</v>
      </c>
      <c r="I7" t="s">
        <v>246</v>
      </c>
      <c r="J7" t="s">
        <v>153</v>
      </c>
      <c r="N7" t="s">
        <v>246</v>
      </c>
      <c r="O7" t="s">
        <v>153</v>
      </c>
    </row>
    <row r="8" spans="1:21">
      <c r="F8" s="2">
        <v>1621</v>
      </c>
      <c r="G8">
        <v>4</v>
      </c>
      <c r="I8" s="2">
        <v>1939</v>
      </c>
      <c r="J8">
        <v>5</v>
      </c>
      <c r="N8">
        <v>2000</v>
      </c>
      <c r="O8">
        <v>4</v>
      </c>
    </row>
    <row r="9" spans="1:21">
      <c r="G9" t="s">
        <v>126</v>
      </c>
      <c r="H9" s="2">
        <f>F8*G8</f>
        <v>6484</v>
      </c>
      <c r="J9" t="s">
        <v>126</v>
      </c>
      <c r="K9" s="11">
        <f>I8*J8</f>
        <v>9695</v>
      </c>
      <c r="L9" s="11">
        <v>10000</v>
      </c>
      <c r="N9" t="s">
        <v>126</v>
      </c>
      <c r="O9" s="2">
        <f>N8*O8</f>
        <v>8000</v>
      </c>
    </row>
    <row r="10" spans="1:21">
      <c r="J10" t="s">
        <v>156</v>
      </c>
      <c r="K10" s="11"/>
      <c r="L10" s="11">
        <f>L9*12</f>
        <v>120000</v>
      </c>
      <c r="N10" t="s">
        <v>156</v>
      </c>
      <c r="O10" s="2">
        <f>O9*12</f>
        <v>96000</v>
      </c>
    </row>
    <row r="11" spans="1:21">
      <c r="A11" t="s">
        <v>124</v>
      </c>
      <c r="F11" t="s">
        <v>466</v>
      </c>
    </row>
    <row r="12" spans="1:21">
      <c r="A12" t="s">
        <v>467</v>
      </c>
      <c r="E12" t="s">
        <v>127</v>
      </c>
      <c r="F12" t="s">
        <v>159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</row>
    <row r="13" spans="1:21">
      <c r="D13" t="s">
        <v>140</v>
      </c>
      <c r="E13" s="26">
        <v>7800</v>
      </c>
      <c r="F13" s="26">
        <v>7800</v>
      </c>
      <c r="G13" s="26">
        <v>7200</v>
      </c>
      <c r="H13" s="26">
        <v>7200</v>
      </c>
      <c r="I13" s="26">
        <v>7200</v>
      </c>
      <c r="J13" s="26">
        <v>7200</v>
      </c>
      <c r="K13" s="26">
        <v>7200</v>
      </c>
      <c r="L13" s="26">
        <v>7200</v>
      </c>
      <c r="M13" s="26">
        <v>7200</v>
      </c>
      <c r="N13" s="26">
        <v>7200</v>
      </c>
      <c r="O13" s="26">
        <v>7200</v>
      </c>
      <c r="P13" s="26">
        <v>7200</v>
      </c>
      <c r="Q13" s="3">
        <f>SUM(E13:P13)</f>
        <v>87600</v>
      </c>
      <c r="R13" t="s">
        <v>409</v>
      </c>
      <c r="U13" s="3">
        <f>Q13-Q20</f>
        <v>-32400</v>
      </c>
    </row>
    <row r="14" spans="1:21">
      <c r="B14" t="s">
        <v>468</v>
      </c>
      <c r="C14" t="s">
        <v>439</v>
      </c>
      <c r="E14" s="310">
        <f>$C$15*E$15</f>
        <v>7756</v>
      </c>
      <c r="F14" s="310">
        <f>$C$15*F$15</f>
        <v>7756</v>
      </c>
      <c r="G14" s="310">
        <f>$C$16*G$16</f>
        <v>7188</v>
      </c>
      <c r="H14" s="310">
        <f t="shared" ref="H14:P14" si="0">$C$16*H$16</f>
        <v>7188</v>
      </c>
      <c r="I14" s="310">
        <f t="shared" si="0"/>
        <v>7188</v>
      </c>
      <c r="J14" s="310">
        <f t="shared" si="0"/>
        <v>7188</v>
      </c>
      <c r="K14" s="310">
        <f t="shared" si="0"/>
        <v>7188</v>
      </c>
      <c r="L14" s="310">
        <f t="shared" si="0"/>
        <v>7188</v>
      </c>
      <c r="M14" s="310">
        <f t="shared" si="0"/>
        <v>7188</v>
      </c>
      <c r="N14" s="310">
        <f t="shared" si="0"/>
        <v>7188</v>
      </c>
      <c r="O14" s="310">
        <f t="shared" si="0"/>
        <v>7188</v>
      </c>
      <c r="P14" s="310">
        <f t="shared" si="0"/>
        <v>7188</v>
      </c>
      <c r="Q14" s="3">
        <f>SUM(E14:P14)</f>
        <v>87392</v>
      </c>
      <c r="R14" t="s">
        <v>410</v>
      </c>
      <c r="U14" s="3">
        <f>Q13-Q21</f>
        <v>-7423</v>
      </c>
    </row>
    <row r="15" spans="1:21">
      <c r="B15" t="s">
        <v>78</v>
      </c>
      <c r="C15" s="2">
        <v>1939</v>
      </c>
      <c r="E15" s="11">
        <v>4</v>
      </c>
      <c r="F15" s="11">
        <v>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"/>
    </row>
    <row r="16" spans="1:21">
      <c r="B16" t="s">
        <v>79</v>
      </c>
      <c r="C16" s="2">
        <v>1797</v>
      </c>
      <c r="E16" s="1"/>
      <c r="F16" s="1"/>
      <c r="G16" s="1">
        <v>4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/>
    </row>
    <row r="17" spans="1:17">
      <c r="C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t="s">
        <v>123</v>
      </c>
    </row>
    <row r="19" spans="1:17">
      <c r="A19" t="s">
        <v>467</v>
      </c>
      <c r="E19" t="s">
        <v>127</v>
      </c>
      <c r="F19" t="s">
        <v>159</v>
      </c>
      <c r="G19" t="s">
        <v>129</v>
      </c>
      <c r="H19" t="s">
        <v>130</v>
      </c>
      <c r="I19" t="s">
        <v>131</v>
      </c>
      <c r="J19" t="s">
        <v>132</v>
      </c>
      <c r="K19" t="s">
        <v>133</v>
      </c>
      <c r="L19" t="s">
        <v>134</v>
      </c>
      <c r="M19" t="s">
        <v>135</v>
      </c>
      <c r="N19" t="s">
        <v>136</v>
      </c>
      <c r="O19" t="s">
        <v>137</v>
      </c>
      <c r="P19" t="s">
        <v>138</v>
      </c>
    </row>
    <row r="20" spans="1:17">
      <c r="E20" s="11">
        <v>10000</v>
      </c>
      <c r="F20" s="11">
        <v>10000</v>
      </c>
      <c r="G20" s="11">
        <v>10000</v>
      </c>
      <c r="H20" s="11">
        <v>10000</v>
      </c>
      <c r="I20" s="11">
        <v>10000</v>
      </c>
      <c r="J20" s="11">
        <v>10000</v>
      </c>
      <c r="K20" s="11">
        <v>10000</v>
      </c>
      <c r="L20" s="11">
        <v>10000</v>
      </c>
      <c r="M20" s="11">
        <v>10000</v>
      </c>
      <c r="N20" s="11">
        <v>10000</v>
      </c>
      <c r="O20" s="11">
        <v>10000</v>
      </c>
      <c r="P20" s="11">
        <v>10000</v>
      </c>
      <c r="Q20" s="3">
        <f>SUM(E20:P20)</f>
        <v>120000</v>
      </c>
    </row>
    <row r="21" spans="1:17">
      <c r="E21" s="1">
        <v>6484</v>
      </c>
      <c r="F21" s="1">
        <v>6484</v>
      </c>
      <c r="G21" s="1">
        <v>7756</v>
      </c>
      <c r="H21" s="1">
        <v>7757</v>
      </c>
      <c r="I21" s="1">
        <v>7757</v>
      </c>
      <c r="J21" s="1">
        <v>7757</v>
      </c>
      <c r="K21" s="1">
        <v>7757</v>
      </c>
      <c r="L21" s="1">
        <v>7757</v>
      </c>
      <c r="M21" s="1">
        <v>7757</v>
      </c>
      <c r="N21" s="1">
        <v>7757</v>
      </c>
      <c r="O21" s="1">
        <v>10000</v>
      </c>
      <c r="P21" s="1">
        <v>10000</v>
      </c>
      <c r="Q21" s="1">
        <f>SUM(E21:P21)</f>
        <v>95023</v>
      </c>
    </row>
  </sheetData>
  <phoneticPr fontId="6"/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0054-0AD2-412C-84F0-28BE7DCE90FF}">
  <sheetPr codeName="Sheet24">
    <tabColor rgb="FFFFC000"/>
  </sheetPr>
  <dimension ref="A6:U23"/>
  <sheetViews>
    <sheetView zoomScale="70" zoomScaleNormal="70" workbookViewId="0">
      <selection activeCell="P13" sqref="P13"/>
    </sheetView>
  </sheetViews>
  <sheetFormatPr defaultRowHeight="18"/>
  <cols>
    <col min="3" max="3" width="10.875" customWidth="1"/>
    <col min="5" max="5" width="17.25" bestFit="1" customWidth="1"/>
    <col min="13" max="13" width="12.125" customWidth="1"/>
    <col min="17" max="17" width="11.75" customWidth="1"/>
  </cols>
  <sheetData>
    <row r="6" spans="1:21">
      <c r="F6" t="s">
        <v>147</v>
      </c>
      <c r="I6" t="s">
        <v>123</v>
      </c>
      <c r="M6" t="s">
        <v>124</v>
      </c>
    </row>
    <row r="7" spans="1:21">
      <c r="F7" t="s">
        <v>246</v>
      </c>
      <c r="G7" t="s">
        <v>153</v>
      </c>
      <c r="I7" t="s">
        <v>246</v>
      </c>
      <c r="J7" t="s">
        <v>153</v>
      </c>
      <c r="M7" t="s">
        <v>468</v>
      </c>
      <c r="N7" t="s">
        <v>246</v>
      </c>
      <c r="O7" t="s">
        <v>153</v>
      </c>
    </row>
    <row r="8" spans="1:21">
      <c r="F8" s="2">
        <v>3750</v>
      </c>
      <c r="G8">
        <v>15</v>
      </c>
      <c r="I8" s="2">
        <v>4497</v>
      </c>
      <c r="J8">
        <v>30</v>
      </c>
      <c r="M8" t="s">
        <v>78</v>
      </c>
      <c r="N8" s="2">
        <v>4497</v>
      </c>
      <c r="O8">
        <v>15</v>
      </c>
    </row>
    <row r="9" spans="1:21">
      <c r="G9" t="s">
        <v>126</v>
      </c>
      <c r="H9" s="2">
        <f>F8*G8</f>
        <v>56250</v>
      </c>
      <c r="J9" t="s">
        <v>126</v>
      </c>
      <c r="K9" s="11">
        <f>I8*J8</f>
        <v>134910</v>
      </c>
      <c r="L9" s="11">
        <v>135000</v>
      </c>
      <c r="M9" t="s">
        <v>79</v>
      </c>
      <c r="N9" s="2">
        <v>4320</v>
      </c>
      <c r="O9">
        <v>15</v>
      </c>
      <c r="P9" t="s">
        <v>126</v>
      </c>
      <c r="Q9" s="26"/>
    </row>
    <row r="10" spans="1:21">
      <c r="J10" t="s">
        <v>156</v>
      </c>
      <c r="K10" s="11"/>
      <c r="L10" s="11">
        <f>L9*12</f>
        <v>1620000</v>
      </c>
      <c r="P10" t="s">
        <v>156</v>
      </c>
      <c r="Q10" s="26"/>
    </row>
    <row r="11" spans="1:21">
      <c r="A11" t="s">
        <v>124</v>
      </c>
      <c r="G11" t="s">
        <v>469</v>
      </c>
    </row>
    <row r="12" spans="1:21">
      <c r="A12" t="s">
        <v>470</v>
      </c>
      <c r="E12" t="s">
        <v>127</v>
      </c>
      <c r="F12" t="s">
        <v>159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</row>
    <row r="13" spans="1:21">
      <c r="D13" t="s">
        <v>140</v>
      </c>
      <c r="E13" s="26">
        <f>$D$15*E$15</f>
        <v>67455</v>
      </c>
      <c r="F13" s="26">
        <f t="shared" ref="F13:G13" si="0">$D$15*F$15</f>
        <v>67455</v>
      </c>
      <c r="G13" s="26">
        <f t="shared" si="0"/>
        <v>67455</v>
      </c>
      <c r="H13" s="26">
        <f>$D$17*H$17</f>
        <v>64800</v>
      </c>
      <c r="I13" s="26">
        <f t="shared" ref="I13:P13" si="1">$D$17*I$17</f>
        <v>64800</v>
      </c>
      <c r="J13" s="26">
        <f t="shared" si="1"/>
        <v>64800</v>
      </c>
      <c r="K13" s="26">
        <f t="shared" si="1"/>
        <v>64800</v>
      </c>
      <c r="L13" s="26">
        <f t="shared" si="1"/>
        <v>64800</v>
      </c>
      <c r="M13" s="26">
        <f t="shared" si="1"/>
        <v>64800</v>
      </c>
      <c r="N13" s="26">
        <f t="shared" si="1"/>
        <v>64800</v>
      </c>
      <c r="O13" s="26">
        <f t="shared" si="1"/>
        <v>64800</v>
      </c>
      <c r="P13" s="26">
        <f t="shared" si="1"/>
        <v>64800</v>
      </c>
      <c r="Q13" s="3">
        <f>SUM(E13:P13)</f>
        <v>785565</v>
      </c>
      <c r="R13" t="s">
        <v>471</v>
      </c>
      <c r="U13" s="3">
        <f>Q13-Q21</f>
        <v>-24435</v>
      </c>
    </row>
    <row r="14" spans="1:21">
      <c r="D14" t="s">
        <v>439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3"/>
      <c r="R14" t="s">
        <v>423</v>
      </c>
      <c r="U14" s="3">
        <f>Q13-Q22</f>
        <v>65876</v>
      </c>
    </row>
    <row r="15" spans="1:21">
      <c r="B15" t="s">
        <v>78</v>
      </c>
      <c r="C15" t="s">
        <v>440</v>
      </c>
      <c r="D15" s="2">
        <v>4497</v>
      </c>
      <c r="E15">
        <v>15</v>
      </c>
      <c r="F15" s="2">
        <v>15</v>
      </c>
      <c r="G15">
        <v>15</v>
      </c>
      <c r="Q15" s="3"/>
    </row>
    <row r="16" spans="1:21">
      <c r="C16" t="s">
        <v>441</v>
      </c>
      <c r="D16" s="2">
        <v>4722</v>
      </c>
      <c r="F16" s="2"/>
      <c r="Q16" s="3"/>
      <c r="R16" t="s">
        <v>472</v>
      </c>
      <c r="U16" t="s">
        <v>473</v>
      </c>
    </row>
    <row r="17" spans="1:21">
      <c r="B17" t="s">
        <v>79</v>
      </c>
      <c r="D17" s="2">
        <v>4320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R17" s="3">
        <f>D16-D17</f>
        <v>402</v>
      </c>
      <c r="S17">
        <v>15</v>
      </c>
      <c r="T17">
        <v>9</v>
      </c>
      <c r="U17" s="2">
        <f>R17*S17*T17</f>
        <v>54270</v>
      </c>
    </row>
    <row r="18" spans="1:21">
      <c r="D18" t="s">
        <v>141</v>
      </c>
    </row>
    <row r="19" spans="1:21">
      <c r="A19" t="s">
        <v>123</v>
      </c>
    </row>
    <row r="20" spans="1:21">
      <c r="A20" t="s">
        <v>470</v>
      </c>
      <c r="E20" t="s">
        <v>127</v>
      </c>
      <c r="F20" t="s">
        <v>159</v>
      </c>
      <c r="G20" t="s">
        <v>129</v>
      </c>
      <c r="H20" t="s">
        <v>130</v>
      </c>
      <c r="I20" t="s">
        <v>131</v>
      </c>
      <c r="J20" t="s">
        <v>132</v>
      </c>
      <c r="K20" t="s">
        <v>133</v>
      </c>
      <c r="L20" t="s">
        <v>134</v>
      </c>
      <c r="M20" t="s">
        <v>135</v>
      </c>
      <c r="N20" t="s">
        <v>136</v>
      </c>
      <c r="O20" t="s">
        <v>137</v>
      </c>
      <c r="P20" t="s">
        <v>138</v>
      </c>
    </row>
    <row r="21" spans="1:21">
      <c r="E21" s="11">
        <v>67500</v>
      </c>
      <c r="F21" s="11">
        <v>67500</v>
      </c>
      <c r="G21" s="11">
        <v>67500</v>
      </c>
      <c r="H21" s="11">
        <v>67500</v>
      </c>
      <c r="I21" s="11">
        <v>67500</v>
      </c>
      <c r="J21" s="11">
        <v>67500</v>
      </c>
      <c r="K21" s="11">
        <v>67500</v>
      </c>
      <c r="L21" s="11">
        <v>67500</v>
      </c>
      <c r="M21" s="11">
        <v>67500</v>
      </c>
      <c r="N21" s="11">
        <v>67500</v>
      </c>
      <c r="O21" s="11">
        <v>67500</v>
      </c>
      <c r="P21" s="11">
        <v>67500</v>
      </c>
      <c r="Q21" s="3">
        <f>SUM(E21:P21)</f>
        <v>810000</v>
      </c>
    </row>
    <row r="22" spans="1:21">
      <c r="D22" s="34" t="s">
        <v>474</v>
      </c>
      <c r="E22" s="298">
        <v>56250</v>
      </c>
      <c r="F22" s="265">
        <v>56250</v>
      </c>
      <c r="G22" s="265">
        <v>56250</v>
      </c>
      <c r="H22" s="265">
        <v>67455</v>
      </c>
      <c r="I22" s="265">
        <v>67455</v>
      </c>
      <c r="J22" s="265">
        <v>67455</v>
      </c>
      <c r="K22" s="265">
        <v>67456</v>
      </c>
      <c r="L22" s="265">
        <v>67456</v>
      </c>
      <c r="M22" s="265">
        <v>67456</v>
      </c>
      <c r="N22" s="265">
        <v>67456</v>
      </c>
      <c r="O22" s="265">
        <v>67500</v>
      </c>
      <c r="P22" s="266">
        <v>67500</v>
      </c>
      <c r="Q22" s="3">
        <f>SUM(F22:P22)</f>
        <v>719689</v>
      </c>
    </row>
    <row r="23" spans="1:21">
      <c r="P23" t="s">
        <v>164</v>
      </c>
      <c r="Q23" s="3">
        <f>Q22-Q21</f>
        <v>-90311</v>
      </c>
    </row>
  </sheetData>
  <phoneticPr fontId="6"/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AFDE-AC0F-4999-B7EB-2D7576B2B68E}">
  <sheetPr codeName="Sheet39">
    <tabColor rgb="FFFFC000"/>
  </sheetPr>
  <dimension ref="A6:V23"/>
  <sheetViews>
    <sheetView topLeftCell="D1" zoomScale="85" zoomScaleNormal="85" workbookViewId="0">
      <selection activeCell="K20" sqref="K20"/>
    </sheetView>
  </sheetViews>
  <sheetFormatPr defaultRowHeight="18"/>
  <cols>
    <col min="3" max="3" width="12.375" bestFit="1" customWidth="1"/>
    <col min="5" max="5" width="17.25" bestFit="1" customWidth="1"/>
    <col min="17" max="17" width="14.875" customWidth="1"/>
  </cols>
  <sheetData>
    <row r="6" spans="1:22">
      <c r="F6" t="s">
        <v>147</v>
      </c>
      <c r="I6" t="s">
        <v>123</v>
      </c>
    </row>
    <row r="7" spans="1:22">
      <c r="F7" t="s">
        <v>246</v>
      </c>
      <c r="G7" t="s">
        <v>153</v>
      </c>
      <c r="I7" t="s">
        <v>246</v>
      </c>
      <c r="J7" t="s">
        <v>153</v>
      </c>
    </row>
    <row r="8" spans="1:22">
      <c r="F8" s="2">
        <v>29985</v>
      </c>
      <c r="G8">
        <v>1</v>
      </c>
      <c r="I8" s="2">
        <f>F8*1.2</f>
        <v>35982</v>
      </c>
      <c r="J8">
        <v>1</v>
      </c>
    </row>
    <row r="9" spans="1:22">
      <c r="G9" t="s">
        <v>126</v>
      </c>
      <c r="H9" s="2">
        <f>F8*G8</f>
        <v>29985</v>
      </c>
      <c r="J9" t="s">
        <v>126</v>
      </c>
      <c r="K9" s="11">
        <f>I8*J8</f>
        <v>35982</v>
      </c>
      <c r="L9" s="124">
        <v>36000</v>
      </c>
    </row>
    <row r="10" spans="1:22">
      <c r="J10" t="s">
        <v>156</v>
      </c>
      <c r="K10" s="11"/>
      <c r="L10" s="124"/>
    </row>
    <row r="11" spans="1:22">
      <c r="K11" s="11"/>
      <c r="L11" s="11"/>
    </row>
    <row r="12" spans="1:22">
      <c r="A12" t="s">
        <v>124</v>
      </c>
      <c r="J12" t="s">
        <v>475</v>
      </c>
    </row>
    <row r="13" spans="1:22">
      <c r="A13" t="s">
        <v>476</v>
      </c>
      <c r="E13" t="s">
        <v>127</v>
      </c>
      <c r="F13" t="s">
        <v>159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135</v>
      </c>
      <c r="N13" t="s">
        <v>136</v>
      </c>
      <c r="O13" t="s">
        <v>137</v>
      </c>
      <c r="P13" t="s">
        <v>138</v>
      </c>
    </row>
    <row r="14" spans="1:22">
      <c r="E14" s="124">
        <f>$D$16</f>
        <v>31484</v>
      </c>
      <c r="F14" s="124">
        <f t="shared" ref="F14:J14" si="0">$D$16</f>
        <v>31484</v>
      </c>
      <c r="G14" s="124">
        <f t="shared" si="0"/>
        <v>31484</v>
      </c>
      <c r="H14" s="124">
        <f t="shared" si="0"/>
        <v>31484</v>
      </c>
      <c r="I14" s="124">
        <f t="shared" si="0"/>
        <v>31484</v>
      </c>
      <c r="J14" s="124">
        <f t="shared" si="0"/>
        <v>31484</v>
      </c>
      <c r="K14" s="124">
        <f>$D$17</f>
        <v>28363</v>
      </c>
      <c r="L14" s="124">
        <f t="shared" ref="L14:P14" si="1">$D$17</f>
        <v>28363</v>
      </c>
      <c r="M14" s="124">
        <f t="shared" si="1"/>
        <v>28363</v>
      </c>
      <c r="N14" s="124">
        <f t="shared" si="1"/>
        <v>28363</v>
      </c>
      <c r="O14" s="124">
        <f t="shared" si="1"/>
        <v>28363</v>
      </c>
      <c r="P14" s="124">
        <f t="shared" si="1"/>
        <v>28363</v>
      </c>
      <c r="Q14" s="3">
        <f>SUM(E14:P14)</f>
        <v>359082</v>
      </c>
    </row>
    <row r="15" spans="1:22">
      <c r="D15" t="s">
        <v>439</v>
      </c>
      <c r="E15" s="3"/>
      <c r="S15" t="s">
        <v>477</v>
      </c>
      <c r="V15" t="s">
        <v>478</v>
      </c>
    </row>
    <row r="16" spans="1:22">
      <c r="B16" t="s">
        <v>78</v>
      </c>
      <c r="C16" t="s">
        <v>479</v>
      </c>
      <c r="D16" s="2">
        <v>31484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S16" s="3">
        <f>D16-D17</f>
        <v>3121</v>
      </c>
      <c r="T16">
        <v>1</v>
      </c>
      <c r="U16">
        <v>6</v>
      </c>
      <c r="V16" s="2">
        <f>S16*T16*U16</f>
        <v>18726</v>
      </c>
    </row>
    <row r="17" spans="1:17">
      <c r="B17" t="s">
        <v>79</v>
      </c>
      <c r="D17" s="2">
        <v>28363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9" spans="1:17">
      <c r="A19" t="s">
        <v>123</v>
      </c>
    </row>
    <row r="20" spans="1:17">
      <c r="A20" t="s">
        <v>476</v>
      </c>
      <c r="E20" t="s">
        <v>127</v>
      </c>
      <c r="F20" t="s">
        <v>159</v>
      </c>
      <c r="G20" t="s">
        <v>129</v>
      </c>
      <c r="H20" t="s">
        <v>130</v>
      </c>
      <c r="I20" t="s">
        <v>131</v>
      </c>
      <c r="J20" t="s">
        <v>132</v>
      </c>
      <c r="K20" t="s">
        <v>133</v>
      </c>
      <c r="L20" t="s">
        <v>134</v>
      </c>
      <c r="M20" t="s">
        <v>135</v>
      </c>
      <c r="N20" t="s">
        <v>136</v>
      </c>
      <c r="O20" t="s">
        <v>137</v>
      </c>
      <c r="P20" t="s">
        <v>138</v>
      </c>
    </row>
    <row r="21" spans="1:17">
      <c r="D21" t="s">
        <v>140</v>
      </c>
      <c r="E21" s="11">
        <v>30000</v>
      </c>
      <c r="F21" s="11">
        <v>30000</v>
      </c>
      <c r="G21" s="11">
        <v>30000</v>
      </c>
      <c r="H21" s="11">
        <v>30000</v>
      </c>
      <c r="I21" s="11">
        <v>30000</v>
      </c>
      <c r="J21" s="11">
        <v>30000</v>
      </c>
      <c r="K21" s="11">
        <v>30000</v>
      </c>
      <c r="L21" s="11">
        <v>30000</v>
      </c>
      <c r="M21" s="11">
        <v>30000</v>
      </c>
      <c r="N21" s="11">
        <v>30000</v>
      </c>
      <c r="O21" s="11">
        <v>30000</v>
      </c>
      <c r="P21" s="11">
        <v>30000</v>
      </c>
      <c r="Q21" s="3">
        <f>SUM(E21:P21)</f>
        <v>360000</v>
      </c>
    </row>
    <row r="22" spans="1:17">
      <c r="D22" t="s">
        <v>141</v>
      </c>
      <c r="E22">
        <v>29985</v>
      </c>
      <c r="F22">
        <v>29985</v>
      </c>
      <c r="G22">
        <v>29985</v>
      </c>
      <c r="H22">
        <v>29985</v>
      </c>
      <c r="I22">
        <v>29985</v>
      </c>
      <c r="J22">
        <v>29985</v>
      </c>
      <c r="K22">
        <v>31484</v>
      </c>
      <c r="L22">
        <v>31484</v>
      </c>
      <c r="M22">
        <v>31484</v>
      </c>
      <c r="N22">
        <v>30000</v>
      </c>
      <c r="O22">
        <v>30000</v>
      </c>
      <c r="P22">
        <v>30000</v>
      </c>
      <c r="Q22" s="2">
        <f>SUM(E22:P22)</f>
        <v>364362</v>
      </c>
    </row>
    <row r="23" spans="1:17">
      <c r="P23" t="s">
        <v>164</v>
      </c>
      <c r="Q23" s="3">
        <f>Q22-Q21</f>
        <v>4362</v>
      </c>
    </row>
  </sheetData>
  <phoneticPr fontId="6"/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EE99-A0A0-4910-8729-E5D1A5AB48DE}">
  <sheetPr codeName="Sheet38">
    <tabColor rgb="FFFFC000"/>
  </sheetPr>
  <dimension ref="A6:O13"/>
  <sheetViews>
    <sheetView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</row>
    <row r="7" spans="1:15">
      <c r="D7" t="s">
        <v>246</v>
      </c>
      <c r="E7" t="s">
        <v>153</v>
      </c>
      <c r="G7" t="s">
        <v>246</v>
      </c>
      <c r="H7" t="s">
        <v>153</v>
      </c>
    </row>
    <row r="8" spans="1:15">
      <c r="D8" s="2">
        <v>652</v>
      </c>
      <c r="E8">
        <v>3</v>
      </c>
      <c r="G8" s="2">
        <f>D8*1.2</f>
        <v>782.4</v>
      </c>
      <c r="H8">
        <v>3</v>
      </c>
    </row>
    <row r="9" spans="1:15">
      <c r="E9" t="s">
        <v>126</v>
      </c>
      <c r="F9" s="2">
        <f>D8*E8</f>
        <v>1956</v>
      </c>
      <c r="H9" t="s">
        <v>126</v>
      </c>
      <c r="I9" s="124">
        <f>G8*H8</f>
        <v>2347.1999999999998</v>
      </c>
      <c r="J9" s="124">
        <v>2500</v>
      </c>
    </row>
    <row r="10" spans="1:15">
      <c r="H10" t="s">
        <v>156</v>
      </c>
      <c r="I10" s="124"/>
      <c r="J10" s="124"/>
    </row>
    <row r="11" spans="1:15">
      <c r="A11" t="s">
        <v>123</v>
      </c>
    </row>
    <row r="12" spans="1:15">
      <c r="A12" t="s">
        <v>480</v>
      </c>
      <c r="C12" t="s">
        <v>127</v>
      </c>
      <c r="D12" t="s">
        <v>159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</row>
    <row r="13" spans="1:15">
      <c r="C13" s="124">
        <f>$J$9</f>
        <v>2500</v>
      </c>
      <c r="D13" s="124">
        <f t="shared" ref="D13:N13" si="0">$J$9</f>
        <v>2500</v>
      </c>
      <c r="E13" s="124">
        <f t="shared" si="0"/>
        <v>2500</v>
      </c>
      <c r="F13" s="124">
        <f t="shared" si="0"/>
        <v>2500</v>
      </c>
      <c r="G13" s="124">
        <f t="shared" si="0"/>
        <v>2500</v>
      </c>
      <c r="H13" s="124">
        <f t="shared" si="0"/>
        <v>2500</v>
      </c>
      <c r="I13" s="124">
        <f t="shared" si="0"/>
        <v>2500</v>
      </c>
      <c r="J13" s="124">
        <f t="shared" si="0"/>
        <v>2500</v>
      </c>
      <c r="K13" s="124">
        <f t="shared" si="0"/>
        <v>2500</v>
      </c>
      <c r="L13" s="124">
        <f t="shared" si="0"/>
        <v>2500</v>
      </c>
      <c r="M13" s="124">
        <f t="shared" si="0"/>
        <v>2500</v>
      </c>
      <c r="N13" s="124">
        <f t="shared" si="0"/>
        <v>2500</v>
      </c>
      <c r="O13" s="3">
        <f>SUM(C13:N13)</f>
        <v>30000</v>
      </c>
    </row>
  </sheetData>
  <phoneticPr fontId="6"/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2F46-ACB7-4F89-BF15-30AAFAB26ECD}">
  <sheetPr codeName="Sheet23">
    <tabColor rgb="FFFFC000"/>
  </sheetPr>
  <dimension ref="A6:Q48"/>
  <sheetViews>
    <sheetView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</row>
    <row r="7" spans="1:15">
      <c r="D7" t="s">
        <v>246</v>
      </c>
      <c r="E7" t="s">
        <v>153</v>
      </c>
      <c r="G7" t="s">
        <v>246</v>
      </c>
      <c r="H7" t="s">
        <v>153</v>
      </c>
    </row>
    <row r="8" spans="1:15">
      <c r="D8" s="2">
        <v>6463</v>
      </c>
      <c r="E8">
        <v>2</v>
      </c>
      <c r="G8" s="2">
        <v>7749</v>
      </c>
      <c r="H8">
        <v>2</v>
      </c>
    </row>
    <row r="9" spans="1:15">
      <c r="E9" t="s">
        <v>126</v>
      </c>
      <c r="F9" s="2">
        <f>D8*E8</f>
        <v>12926</v>
      </c>
      <c r="H9" t="s">
        <v>126</v>
      </c>
      <c r="I9" s="11">
        <f>G8*H8</f>
        <v>15498</v>
      </c>
      <c r="J9" s="124">
        <v>15500</v>
      </c>
    </row>
    <row r="10" spans="1:15">
      <c r="H10" t="s">
        <v>156</v>
      </c>
      <c r="I10" s="11"/>
      <c r="J10" s="124">
        <f>J9*12</f>
        <v>186000</v>
      </c>
    </row>
    <row r="11" spans="1:15">
      <c r="A11" t="s">
        <v>123</v>
      </c>
    </row>
    <row r="12" spans="1:15">
      <c r="A12" t="s">
        <v>481</v>
      </c>
      <c r="C12" t="s">
        <v>127</v>
      </c>
      <c r="D12" t="s">
        <v>159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</row>
    <row r="13" spans="1:15">
      <c r="C13" s="124">
        <f>$J$9</f>
        <v>15500</v>
      </c>
      <c r="D13" s="124">
        <f t="shared" ref="D13:N13" si="0">$J$9</f>
        <v>15500</v>
      </c>
      <c r="E13" s="124">
        <f t="shared" si="0"/>
        <v>15500</v>
      </c>
      <c r="F13" s="124">
        <f t="shared" si="0"/>
        <v>15500</v>
      </c>
      <c r="G13" s="124">
        <f t="shared" si="0"/>
        <v>15500</v>
      </c>
      <c r="H13" s="124">
        <f t="shared" si="0"/>
        <v>15500</v>
      </c>
      <c r="I13" s="124">
        <f t="shared" si="0"/>
        <v>15500</v>
      </c>
      <c r="J13" s="124">
        <f t="shared" si="0"/>
        <v>15500</v>
      </c>
      <c r="K13" s="124">
        <f t="shared" si="0"/>
        <v>15500</v>
      </c>
      <c r="L13" s="124">
        <f t="shared" si="0"/>
        <v>15500</v>
      </c>
      <c r="M13" s="124">
        <f t="shared" si="0"/>
        <v>15500</v>
      </c>
      <c r="N13" s="124">
        <f t="shared" si="0"/>
        <v>15500</v>
      </c>
      <c r="O13" s="3">
        <f>SUM(C13:N13)</f>
        <v>186000</v>
      </c>
    </row>
    <row r="18" spans="1:17" ht="18.600000000000001" thickBot="1"/>
    <row r="19" spans="1:17" ht="18.600000000000001" thickTop="1">
      <c r="A19" s="44">
        <v>2024</v>
      </c>
      <c r="B19" s="45" t="s">
        <v>482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54"/>
    </row>
    <row r="20" spans="1:17">
      <c r="A20" s="48"/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Q20" s="55"/>
    </row>
    <row r="21" spans="1:17">
      <c r="A21" s="48"/>
      <c r="B21" t="s">
        <v>483</v>
      </c>
      <c r="C21" s="10">
        <f>955*1.2</f>
        <v>1146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Q21" s="55"/>
    </row>
    <row r="22" spans="1:17">
      <c r="A22" s="48"/>
      <c r="C22" t="s">
        <v>484</v>
      </c>
      <c r="D22">
        <f>$C$21*D$21</f>
        <v>6876</v>
      </c>
      <c r="E22">
        <f t="shared" ref="E22:O22" si="1">$C$21*E$21</f>
        <v>6876</v>
      </c>
      <c r="F22">
        <f t="shared" si="1"/>
        <v>6876</v>
      </c>
      <c r="G22">
        <f t="shared" si="1"/>
        <v>6876</v>
      </c>
      <c r="H22">
        <f t="shared" si="1"/>
        <v>6876</v>
      </c>
      <c r="I22">
        <f t="shared" si="1"/>
        <v>6876</v>
      </c>
      <c r="J22">
        <f t="shared" si="1"/>
        <v>6876</v>
      </c>
      <c r="K22">
        <f t="shared" si="1"/>
        <v>6876</v>
      </c>
      <c r="L22">
        <f t="shared" si="1"/>
        <v>6876</v>
      </c>
      <c r="M22">
        <f t="shared" si="1"/>
        <v>6876</v>
      </c>
      <c r="N22">
        <f t="shared" si="1"/>
        <v>6876</v>
      </c>
      <c r="O22">
        <f t="shared" si="1"/>
        <v>6876</v>
      </c>
      <c r="P22" t="s">
        <v>485</v>
      </c>
      <c r="Q22" s="55">
        <f>SUM(D22:O22)</f>
        <v>82512</v>
      </c>
    </row>
    <row r="23" spans="1:17">
      <c r="A23" s="48"/>
      <c r="C23">
        <v>955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55"/>
    </row>
    <row r="24" spans="1:17">
      <c r="A24" s="48"/>
      <c r="C24" t="s">
        <v>486</v>
      </c>
      <c r="D24">
        <f>$C$23*D$23</f>
        <v>5730</v>
      </c>
      <c r="E24">
        <f t="shared" ref="E24:O24" si="2">$C$23*E$23</f>
        <v>0</v>
      </c>
      <c r="F24">
        <f t="shared" si="2"/>
        <v>0</v>
      </c>
      <c r="G24">
        <f t="shared" si="2"/>
        <v>0</v>
      </c>
      <c r="H24">
        <f t="shared" si="2"/>
        <v>0</v>
      </c>
      <c r="I24">
        <f t="shared" si="2"/>
        <v>0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0</v>
      </c>
      <c r="P24" t="s">
        <v>487</v>
      </c>
      <c r="Q24" s="55">
        <f>SUM(D24:O24)</f>
        <v>5730</v>
      </c>
    </row>
    <row r="25" spans="1:17" ht="18.600000000000001" thickBot="1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3"/>
    </row>
    <row r="26" spans="1:17" ht="18.600000000000001" thickTop="1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54"/>
    </row>
    <row r="27" spans="1:17">
      <c r="A27" s="48"/>
      <c r="B27" t="s">
        <v>488</v>
      </c>
      <c r="C27">
        <f>5620*1.2</f>
        <v>6744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55"/>
    </row>
    <row r="28" spans="1:17">
      <c r="A28" s="48"/>
      <c r="C28" t="s">
        <v>484</v>
      </c>
      <c r="D28">
        <f>$C$27*D$27</f>
        <v>6744</v>
      </c>
      <c r="E28">
        <f t="shared" ref="E28:O28" si="3">$C$27*E$27</f>
        <v>6744</v>
      </c>
      <c r="F28">
        <f t="shared" si="3"/>
        <v>6744</v>
      </c>
      <c r="G28">
        <f t="shared" si="3"/>
        <v>6744</v>
      </c>
      <c r="H28">
        <f t="shared" si="3"/>
        <v>6744</v>
      </c>
      <c r="I28">
        <f t="shared" si="3"/>
        <v>6744</v>
      </c>
      <c r="J28">
        <f t="shared" si="3"/>
        <v>6744</v>
      </c>
      <c r="K28">
        <f t="shared" si="3"/>
        <v>6744</v>
      </c>
      <c r="L28">
        <f t="shared" si="3"/>
        <v>6744</v>
      </c>
      <c r="M28">
        <f t="shared" si="3"/>
        <v>6744</v>
      </c>
      <c r="N28">
        <f t="shared" si="3"/>
        <v>6744</v>
      </c>
      <c r="O28">
        <f t="shared" si="3"/>
        <v>6744</v>
      </c>
      <c r="P28" t="s">
        <v>139</v>
      </c>
      <c r="Q28" s="55">
        <f>SUM(D28:O28)</f>
        <v>80928</v>
      </c>
    </row>
    <row r="29" spans="1:17">
      <c r="A29" s="48"/>
      <c r="C29" s="1">
        <v>5620</v>
      </c>
      <c r="D29" s="57">
        <v>1</v>
      </c>
      <c r="E29" s="57">
        <v>2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55"/>
    </row>
    <row r="30" spans="1:17">
      <c r="A30" s="48"/>
      <c r="C30" s="1">
        <v>6463</v>
      </c>
      <c r="D30" s="57"/>
      <c r="E30" s="57"/>
      <c r="F30" s="57">
        <v>2</v>
      </c>
      <c r="G30" s="57">
        <v>2</v>
      </c>
      <c r="H30" s="57">
        <v>2</v>
      </c>
      <c r="I30" s="57">
        <v>2</v>
      </c>
      <c r="J30" s="57">
        <v>2</v>
      </c>
      <c r="K30" s="57">
        <v>2</v>
      </c>
      <c r="L30" s="57">
        <v>2</v>
      </c>
      <c r="M30" s="57">
        <v>2</v>
      </c>
      <c r="N30" s="57">
        <v>2</v>
      </c>
      <c r="O30" s="57">
        <v>2</v>
      </c>
      <c r="Q30" s="55"/>
    </row>
    <row r="31" spans="1:17">
      <c r="A31" s="48"/>
      <c r="C31" t="s">
        <v>489</v>
      </c>
      <c r="D31">
        <f>($C$29*D$29)+($C$30*D$30)</f>
        <v>5620</v>
      </c>
      <c r="E31">
        <f t="shared" ref="E31:O31" si="4">($C$29*E$29)+($C$30*E$30)</f>
        <v>11240</v>
      </c>
      <c r="F31">
        <f t="shared" si="4"/>
        <v>12926</v>
      </c>
      <c r="G31">
        <f t="shared" si="4"/>
        <v>12926</v>
      </c>
      <c r="H31">
        <f t="shared" si="4"/>
        <v>12926</v>
      </c>
      <c r="I31">
        <f t="shared" si="4"/>
        <v>12926</v>
      </c>
      <c r="J31">
        <f t="shared" si="4"/>
        <v>12926</v>
      </c>
      <c r="K31">
        <f t="shared" si="4"/>
        <v>12926</v>
      </c>
      <c r="L31">
        <f t="shared" si="4"/>
        <v>12926</v>
      </c>
      <c r="M31">
        <f t="shared" si="4"/>
        <v>12926</v>
      </c>
      <c r="N31">
        <f t="shared" si="4"/>
        <v>12926</v>
      </c>
      <c r="O31">
        <f t="shared" si="4"/>
        <v>12926</v>
      </c>
      <c r="Q31" s="55"/>
    </row>
    <row r="32" spans="1:17">
      <c r="A32" s="48"/>
      <c r="Q32" s="55"/>
    </row>
    <row r="33" spans="1:17">
      <c r="A33" s="48"/>
      <c r="C33" t="s">
        <v>490</v>
      </c>
      <c r="D33">
        <f>D$22+D$28</f>
        <v>13620</v>
      </c>
      <c r="E33">
        <f t="shared" ref="E33:O33" si="5">E$22+E$28</f>
        <v>13620</v>
      </c>
      <c r="F33">
        <f t="shared" si="5"/>
        <v>13620</v>
      </c>
      <c r="G33">
        <f t="shared" si="5"/>
        <v>13620</v>
      </c>
      <c r="H33">
        <f t="shared" si="5"/>
        <v>13620</v>
      </c>
      <c r="I33">
        <f t="shared" si="5"/>
        <v>13620</v>
      </c>
      <c r="J33">
        <f t="shared" si="5"/>
        <v>13620</v>
      </c>
      <c r="K33">
        <f t="shared" si="5"/>
        <v>13620</v>
      </c>
      <c r="L33">
        <f t="shared" si="5"/>
        <v>13620</v>
      </c>
      <c r="M33">
        <f t="shared" si="5"/>
        <v>13620</v>
      </c>
      <c r="N33">
        <f t="shared" si="5"/>
        <v>13620</v>
      </c>
      <c r="O33">
        <f t="shared" si="5"/>
        <v>13620</v>
      </c>
      <c r="P33" s="58" t="s">
        <v>485</v>
      </c>
      <c r="Q33" s="59">
        <f>Q22+Q28</f>
        <v>163440</v>
      </c>
    </row>
    <row r="34" spans="1:17" ht="18.600000000000001" thickBot="1">
      <c r="A34" s="50"/>
      <c r="B34" s="51"/>
      <c r="C34" s="51" t="s">
        <v>491</v>
      </c>
      <c r="D34" s="51">
        <f>D$24+D$33</f>
        <v>19350</v>
      </c>
      <c r="E34" s="51">
        <f t="shared" ref="E34:O34" si="6">E$24+E$33</f>
        <v>13620</v>
      </c>
      <c r="F34" s="51">
        <f t="shared" si="6"/>
        <v>13620</v>
      </c>
      <c r="G34" s="51">
        <f t="shared" si="6"/>
        <v>13620</v>
      </c>
      <c r="H34" s="51">
        <f t="shared" si="6"/>
        <v>13620</v>
      </c>
      <c r="I34" s="51">
        <f t="shared" si="6"/>
        <v>13620</v>
      </c>
      <c r="J34" s="51">
        <f t="shared" si="6"/>
        <v>13620</v>
      </c>
      <c r="K34" s="51">
        <f t="shared" si="6"/>
        <v>13620</v>
      </c>
      <c r="L34" s="51">
        <f t="shared" si="6"/>
        <v>13620</v>
      </c>
      <c r="M34" s="51">
        <f t="shared" si="6"/>
        <v>13620</v>
      </c>
      <c r="N34" s="51">
        <f t="shared" si="6"/>
        <v>13620</v>
      </c>
      <c r="O34" s="51">
        <f t="shared" si="6"/>
        <v>13620</v>
      </c>
      <c r="P34" s="60" t="s">
        <v>492</v>
      </c>
      <c r="Q34" s="61">
        <f>SUM(D34:O34)</f>
        <v>169170</v>
      </c>
    </row>
    <row r="35" spans="1:17" ht="18.600000000000001" thickTop="1">
      <c r="P35" s="62" t="s">
        <v>164</v>
      </c>
      <c r="Q35" s="63">
        <f>Q33-Q34</f>
        <v>-5730</v>
      </c>
    </row>
    <row r="39" spans="1:17">
      <c r="A39">
        <v>2023</v>
      </c>
    </row>
    <row r="40" spans="1:17">
      <c r="D40">
        <v>1</v>
      </c>
      <c r="E40">
        <v>2</v>
      </c>
      <c r="F40">
        <v>3</v>
      </c>
      <c r="G40">
        <v>4</v>
      </c>
      <c r="H40">
        <v>5</v>
      </c>
      <c r="I40">
        <v>6</v>
      </c>
      <c r="J40">
        <v>7</v>
      </c>
      <c r="K40">
        <v>8</v>
      </c>
      <c r="L40">
        <v>9</v>
      </c>
      <c r="M40">
        <v>10</v>
      </c>
      <c r="N40">
        <v>11</v>
      </c>
      <c r="O40">
        <v>12</v>
      </c>
    </row>
    <row r="41" spans="1:17">
      <c r="B41" t="s">
        <v>493</v>
      </c>
      <c r="C41">
        <v>955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</row>
    <row r="42" spans="1:17">
      <c r="C42" t="s">
        <v>172</v>
      </c>
      <c r="D42">
        <f t="shared" ref="D42:O42" si="7">D$41*$C$41</f>
        <v>5730</v>
      </c>
      <c r="E42">
        <f t="shared" si="7"/>
        <v>5730</v>
      </c>
      <c r="F42">
        <f t="shared" si="7"/>
        <v>5730</v>
      </c>
      <c r="G42">
        <f t="shared" si="7"/>
        <v>5730</v>
      </c>
      <c r="H42">
        <f t="shared" si="7"/>
        <v>5730</v>
      </c>
      <c r="I42">
        <f t="shared" si="7"/>
        <v>5730</v>
      </c>
      <c r="J42">
        <f t="shared" si="7"/>
        <v>5730</v>
      </c>
      <c r="K42">
        <f t="shared" si="7"/>
        <v>5730</v>
      </c>
      <c r="L42">
        <f t="shared" si="7"/>
        <v>5730</v>
      </c>
      <c r="M42">
        <f t="shared" si="7"/>
        <v>5730</v>
      </c>
      <c r="N42">
        <f t="shared" si="7"/>
        <v>5730</v>
      </c>
      <c r="O42">
        <f t="shared" si="7"/>
        <v>5730</v>
      </c>
      <c r="P42" t="s">
        <v>139</v>
      </c>
      <c r="Q42">
        <f>SUM(D42:O42)</f>
        <v>68760</v>
      </c>
    </row>
    <row r="46" spans="1:17">
      <c r="B46" t="s">
        <v>494</v>
      </c>
      <c r="C46">
        <v>5620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7">
      <c r="C47" t="s">
        <v>172</v>
      </c>
      <c r="D47">
        <f t="shared" ref="D47:O47" si="8">D$46*$C$46</f>
        <v>0</v>
      </c>
      <c r="E47">
        <f t="shared" si="8"/>
        <v>5620</v>
      </c>
      <c r="F47">
        <f t="shared" si="8"/>
        <v>5620</v>
      </c>
      <c r="G47">
        <f t="shared" si="8"/>
        <v>5620</v>
      </c>
      <c r="H47">
        <f t="shared" si="8"/>
        <v>5620</v>
      </c>
      <c r="I47">
        <f t="shared" si="8"/>
        <v>5620</v>
      </c>
      <c r="J47">
        <f t="shared" si="8"/>
        <v>5620</v>
      </c>
      <c r="K47">
        <f t="shared" si="8"/>
        <v>5620</v>
      </c>
      <c r="L47">
        <f t="shared" si="8"/>
        <v>5620</v>
      </c>
      <c r="M47">
        <f t="shared" si="8"/>
        <v>5620</v>
      </c>
      <c r="N47">
        <f t="shared" si="8"/>
        <v>5620</v>
      </c>
      <c r="O47">
        <f t="shared" si="8"/>
        <v>5620</v>
      </c>
      <c r="P47" t="s">
        <v>139</v>
      </c>
      <c r="Q47">
        <f>SUM(D47:O47)</f>
        <v>61820</v>
      </c>
    </row>
    <row r="48" spans="1:17">
      <c r="P48" t="s">
        <v>139</v>
      </c>
      <c r="Q48">
        <f>Q42+Q47</f>
        <v>130580</v>
      </c>
    </row>
  </sheetData>
  <phoneticPr fontId="6"/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FF8-C496-415A-9C7C-69882228F6B7}">
  <sheetPr>
    <tabColor rgb="FFFFC000"/>
  </sheetPr>
  <dimension ref="A2:Q23"/>
  <sheetViews>
    <sheetView topLeftCell="B1" workbookViewId="0">
      <selection activeCell="K20" sqref="K20"/>
    </sheetView>
  </sheetViews>
  <sheetFormatPr defaultRowHeight="18"/>
  <cols>
    <col min="2" max="2" width="17.625" customWidth="1"/>
    <col min="5" max="5" width="17.25" bestFit="1" customWidth="1"/>
    <col min="17" max="17" width="14.875" customWidth="1"/>
  </cols>
  <sheetData>
    <row r="2" spans="1:17">
      <c r="O2" t="s">
        <v>495</v>
      </c>
    </row>
    <row r="6" spans="1:17">
      <c r="I6" t="s">
        <v>124</v>
      </c>
    </row>
    <row r="7" spans="1:17">
      <c r="I7" t="s">
        <v>246</v>
      </c>
      <c r="J7" t="s">
        <v>153</v>
      </c>
    </row>
    <row r="8" spans="1:17">
      <c r="F8" s="2"/>
      <c r="I8" s="2">
        <v>1622</v>
      </c>
      <c r="J8">
        <v>2</v>
      </c>
    </row>
    <row r="9" spans="1:17">
      <c r="H9" s="2"/>
      <c r="J9" t="s">
        <v>126</v>
      </c>
      <c r="K9" s="11">
        <f>I8*J8</f>
        <v>3244</v>
      </c>
      <c r="L9" s="11"/>
    </row>
    <row r="10" spans="1:17">
      <c r="J10" t="s">
        <v>156</v>
      </c>
      <c r="K10" s="11">
        <f>K9*12</f>
        <v>38928</v>
      </c>
      <c r="L10" s="11">
        <f>L9*12</f>
        <v>0</v>
      </c>
    </row>
    <row r="11" spans="1:17">
      <c r="A11" t="s">
        <v>124</v>
      </c>
    </row>
    <row r="12" spans="1:17">
      <c r="A12" t="s">
        <v>496</v>
      </c>
      <c r="E12" t="s">
        <v>127</v>
      </c>
      <c r="F12" t="s">
        <v>159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</row>
    <row r="13" spans="1:17">
      <c r="D13" t="s">
        <v>140</v>
      </c>
      <c r="E13" s="311">
        <f>$C$14*E14</f>
        <v>3244</v>
      </c>
      <c r="F13" s="311">
        <f t="shared" ref="F13:P13" si="0">$C$14*F14</f>
        <v>3244</v>
      </c>
      <c r="G13" s="311">
        <f t="shared" si="0"/>
        <v>3244</v>
      </c>
      <c r="H13" s="311">
        <f t="shared" si="0"/>
        <v>3244</v>
      </c>
      <c r="I13" s="311">
        <f t="shared" si="0"/>
        <v>3244</v>
      </c>
      <c r="J13" s="311">
        <f t="shared" si="0"/>
        <v>3244</v>
      </c>
      <c r="K13" s="311">
        <f t="shared" si="0"/>
        <v>3244</v>
      </c>
      <c r="L13" s="311">
        <f t="shared" si="0"/>
        <v>3244</v>
      </c>
      <c r="M13" s="311">
        <f t="shared" si="0"/>
        <v>3244</v>
      </c>
      <c r="N13" s="311">
        <f t="shared" si="0"/>
        <v>3244</v>
      </c>
      <c r="O13" s="311">
        <f t="shared" si="0"/>
        <v>3244</v>
      </c>
      <c r="P13" s="311">
        <f t="shared" si="0"/>
        <v>3244</v>
      </c>
      <c r="Q13" s="3">
        <f>SUM(E13:P13)</f>
        <v>38928</v>
      </c>
    </row>
    <row r="14" spans="1:17">
      <c r="B14" t="s">
        <v>497</v>
      </c>
      <c r="C14" s="2">
        <v>1622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</row>
    <row r="15" spans="1:17">
      <c r="B15" t="s">
        <v>498</v>
      </c>
      <c r="C15" s="2">
        <v>1286</v>
      </c>
    </row>
    <row r="17" spans="1:17">
      <c r="K17" s="11"/>
      <c r="L17" s="11"/>
    </row>
    <row r="18" spans="1:17">
      <c r="K18" s="11"/>
      <c r="L18" s="11"/>
    </row>
    <row r="19" spans="1:17">
      <c r="K19" s="11"/>
      <c r="L19" s="11"/>
    </row>
    <row r="20" spans="1:17">
      <c r="K20" s="11"/>
      <c r="L20" s="11"/>
    </row>
    <row r="21" spans="1:17">
      <c r="A21" t="s">
        <v>123</v>
      </c>
      <c r="E21" t="s">
        <v>499</v>
      </c>
    </row>
    <row r="22" spans="1:17">
      <c r="A22" t="s">
        <v>500</v>
      </c>
      <c r="E22" t="s">
        <v>127</v>
      </c>
      <c r="F22" t="s">
        <v>159</v>
      </c>
      <c r="G22" t="s">
        <v>129</v>
      </c>
      <c r="H22" t="s">
        <v>130</v>
      </c>
      <c r="I22" t="s">
        <v>131</v>
      </c>
      <c r="J22" t="s">
        <v>132</v>
      </c>
      <c r="K22" t="s">
        <v>133</v>
      </c>
      <c r="L22" t="s">
        <v>134</v>
      </c>
      <c r="M22" t="s">
        <v>135</v>
      </c>
      <c r="N22" t="s">
        <v>136</v>
      </c>
      <c r="O22" t="s">
        <v>137</v>
      </c>
      <c r="P22" t="s">
        <v>138</v>
      </c>
    </row>
    <row r="23" spans="1:17">
      <c r="E23" s="269">
        <v>2720</v>
      </c>
      <c r="F23" s="134">
        <v>2720</v>
      </c>
      <c r="G23" s="134">
        <v>2720</v>
      </c>
      <c r="H23" s="134">
        <v>2720</v>
      </c>
      <c r="I23" s="134">
        <v>2720</v>
      </c>
      <c r="J23" s="134">
        <v>3244</v>
      </c>
      <c r="K23" s="134">
        <v>3244</v>
      </c>
      <c r="L23" s="134">
        <v>3244</v>
      </c>
      <c r="M23" s="134">
        <v>3244</v>
      </c>
      <c r="N23" s="265"/>
      <c r="O23" s="265"/>
      <c r="P23" s="266"/>
      <c r="Q23" s="3">
        <f>SUM(E23:P23)</f>
        <v>26576</v>
      </c>
    </row>
  </sheetData>
  <phoneticPr fontId="6"/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3324-4814-4716-8C26-474D49567BC5}">
  <sheetPr codeName="Sheet17">
    <tabColor rgb="FFFFC000"/>
  </sheetPr>
  <dimension ref="A1:T35"/>
  <sheetViews>
    <sheetView topLeftCell="B1" zoomScale="85" zoomScaleNormal="85" workbookViewId="0">
      <selection activeCell="K20" sqref="K20"/>
    </sheetView>
  </sheetViews>
  <sheetFormatPr defaultRowHeight="18"/>
  <cols>
    <col min="2" max="2" width="12.375" bestFit="1" customWidth="1"/>
    <col min="3" max="3" width="15.125" customWidth="1"/>
    <col min="6" max="6" width="12.75" bestFit="1" customWidth="1"/>
    <col min="7" max="7" width="11" bestFit="1" customWidth="1"/>
  </cols>
  <sheetData>
    <row r="1" spans="1:20">
      <c r="F1" t="s">
        <v>147</v>
      </c>
      <c r="H1" t="s">
        <v>123</v>
      </c>
      <c r="L1" t="s">
        <v>124</v>
      </c>
    </row>
    <row r="2" spans="1:20">
      <c r="B2" t="s">
        <v>501</v>
      </c>
      <c r="C2" t="s">
        <v>502</v>
      </c>
      <c r="D2" t="s">
        <v>503</v>
      </c>
      <c r="E2" t="s">
        <v>504</v>
      </c>
      <c r="F2" t="s">
        <v>505</v>
      </c>
      <c r="H2" t="s">
        <v>506</v>
      </c>
      <c r="I2" t="s">
        <v>507</v>
      </c>
      <c r="J2" t="s">
        <v>139</v>
      </c>
      <c r="L2" t="s">
        <v>430</v>
      </c>
      <c r="M2" t="s">
        <v>508</v>
      </c>
      <c r="N2" t="s">
        <v>139</v>
      </c>
    </row>
    <row r="3" spans="1:20">
      <c r="B3" t="s">
        <v>509</v>
      </c>
    </row>
    <row r="4" spans="1:20">
      <c r="B4" t="s">
        <v>510</v>
      </c>
      <c r="C4" s="2">
        <v>1300</v>
      </c>
      <c r="D4">
        <v>70</v>
      </c>
      <c r="E4">
        <v>50</v>
      </c>
      <c r="F4">
        <v>200</v>
      </c>
      <c r="H4">
        <f>SUM(D4:F4)</f>
        <v>320</v>
      </c>
      <c r="I4">
        <v>30</v>
      </c>
      <c r="J4">
        <f>H4+I4</f>
        <v>350</v>
      </c>
      <c r="L4">
        <v>320</v>
      </c>
      <c r="M4">
        <v>0</v>
      </c>
      <c r="N4">
        <v>320</v>
      </c>
    </row>
    <row r="5" spans="1:20">
      <c r="B5" t="s">
        <v>511</v>
      </c>
      <c r="C5" s="2">
        <v>1250</v>
      </c>
      <c r="K5">
        <f>J4*C5</f>
        <v>437500</v>
      </c>
    </row>
    <row r="6" spans="1:20">
      <c r="D6" s="2">
        <f>C4*D4</f>
        <v>91000</v>
      </c>
      <c r="E6" s="2">
        <f>C4*E4</f>
        <v>65000</v>
      </c>
      <c r="F6" s="2">
        <f>F4*C4</f>
        <v>260000</v>
      </c>
      <c r="G6" s="2">
        <f>G4*C4</f>
        <v>0</v>
      </c>
    </row>
    <row r="7" spans="1:20">
      <c r="C7" t="s">
        <v>156</v>
      </c>
      <c r="G7" s="11">
        <f>SUM(D6:G6)</f>
        <v>416000</v>
      </c>
      <c r="H7" s="26">
        <f>J4*C4</f>
        <v>455000</v>
      </c>
      <c r="I7" s="26"/>
      <c r="M7" t="s">
        <v>156</v>
      </c>
      <c r="N7" s="312">
        <v>569600</v>
      </c>
    </row>
    <row r="8" spans="1:20">
      <c r="C8" t="s">
        <v>126</v>
      </c>
      <c r="H8" s="26">
        <f>H7/12</f>
        <v>37916.666666666664</v>
      </c>
      <c r="I8" s="26"/>
      <c r="N8">
        <f>N7/12</f>
        <v>47466.666666666664</v>
      </c>
    </row>
    <row r="9" spans="1:20">
      <c r="H9" s="11">
        <v>38000</v>
      </c>
    </row>
    <row r="11" spans="1:20">
      <c r="F11" t="s">
        <v>390</v>
      </c>
    </row>
    <row r="12" spans="1:20">
      <c r="A12" t="s">
        <v>389</v>
      </c>
      <c r="D12" t="s">
        <v>127</v>
      </c>
      <c r="E12" t="s">
        <v>159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20">
      <c r="A13" t="s">
        <v>512</v>
      </c>
      <c r="C13" t="s">
        <v>140</v>
      </c>
      <c r="D13" s="26">
        <v>47500</v>
      </c>
      <c r="E13" s="26">
        <v>47500</v>
      </c>
      <c r="F13" s="26">
        <v>47500</v>
      </c>
      <c r="G13" s="26">
        <v>47500</v>
      </c>
      <c r="H13" s="26">
        <v>47500</v>
      </c>
      <c r="I13" s="26">
        <v>47500</v>
      </c>
      <c r="J13" s="26">
        <v>47500</v>
      </c>
      <c r="K13" s="26">
        <v>47500</v>
      </c>
      <c r="L13" s="26">
        <v>47500</v>
      </c>
      <c r="M13" s="26">
        <v>47500</v>
      </c>
      <c r="N13" s="26">
        <v>47500</v>
      </c>
      <c r="O13" s="26">
        <v>47500</v>
      </c>
      <c r="P13" s="3">
        <f>SUM(D13:O13)</f>
        <v>570000</v>
      </c>
      <c r="Q13" t="s">
        <v>513</v>
      </c>
      <c r="T13" s="3">
        <f>P13-P18</f>
        <v>114000</v>
      </c>
    </row>
    <row r="14" spans="1:20">
      <c r="Q14" t="s">
        <v>410</v>
      </c>
      <c r="T14" s="3">
        <f>P13-P19</f>
        <v>54528</v>
      </c>
    </row>
    <row r="17" spans="1:20">
      <c r="A17" t="s">
        <v>389</v>
      </c>
      <c r="D17" t="s">
        <v>127</v>
      </c>
      <c r="E17" t="s">
        <v>159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</row>
    <row r="18" spans="1:20">
      <c r="A18" t="s">
        <v>512</v>
      </c>
      <c r="C18" t="s">
        <v>140</v>
      </c>
      <c r="D18" s="11">
        <f>$H$9</f>
        <v>38000</v>
      </c>
      <c r="E18" s="11">
        <f t="shared" ref="E18:O18" si="0">$H$9</f>
        <v>38000</v>
      </c>
      <c r="F18" s="11">
        <f t="shared" si="0"/>
        <v>38000</v>
      </c>
      <c r="G18" s="11">
        <f t="shared" si="0"/>
        <v>38000</v>
      </c>
      <c r="H18" s="11">
        <f t="shared" si="0"/>
        <v>38000</v>
      </c>
      <c r="I18" s="11">
        <f t="shared" si="0"/>
        <v>38000</v>
      </c>
      <c r="J18" s="11">
        <f t="shared" si="0"/>
        <v>38000</v>
      </c>
      <c r="K18" s="11">
        <f t="shared" si="0"/>
        <v>38000</v>
      </c>
      <c r="L18" s="11">
        <f t="shared" si="0"/>
        <v>38000</v>
      </c>
      <c r="M18" s="11">
        <f t="shared" si="0"/>
        <v>38000</v>
      </c>
      <c r="N18" s="11">
        <f t="shared" si="0"/>
        <v>38000</v>
      </c>
      <c r="O18" s="11">
        <f t="shared" si="0"/>
        <v>38000</v>
      </c>
      <c r="P18" s="3">
        <f>SUM(D18:O18)</f>
        <v>456000</v>
      </c>
    </row>
    <row r="19" spans="1:20">
      <c r="C19" t="s">
        <v>141</v>
      </c>
      <c r="D19" s="298">
        <v>14583</v>
      </c>
      <c r="E19" s="308">
        <v>14583</v>
      </c>
      <c r="F19" s="308">
        <v>87504</v>
      </c>
      <c r="G19" s="308">
        <v>47467</v>
      </c>
      <c r="H19" s="265">
        <v>47467</v>
      </c>
      <c r="I19" s="265">
        <v>47467</v>
      </c>
      <c r="J19" s="265">
        <v>47467</v>
      </c>
      <c r="K19" s="265">
        <v>47467</v>
      </c>
      <c r="L19" s="265">
        <v>47467</v>
      </c>
      <c r="M19" s="265">
        <v>38000</v>
      </c>
      <c r="N19" s="265">
        <v>38000</v>
      </c>
      <c r="O19" s="266">
        <v>38000</v>
      </c>
      <c r="P19" s="3">
        <f>SUM(D19:O19)</f>
        <v>515472</v>
      </c>
    </row>
    <row r="22" spans="1:20" ht="18.600000000000001" thickBot="1"/>
    <row r="23" spans="1:20" ht="18.600000000000001" thickTop="1">
      <c r="F23" s="44" t="s">
        <v>310</v>
      </c>
      <c r="G23" s="64">
        <v>450000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54"/>
    </row>
    <row r="24" spans="1:20">
      <c r="F24" s="48"/>
      <c r="G24" t="s">
        <v>514</v>
      </c>
      <c r="H24" t="s">
        <v>128</v>
      </c>
      <c r="I24" t="s">
        <v>515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  <c r="O24" t="s">
        <v>135</v>
      </c>
      <c r="P24" t="s">
        <v>136</v>
      </c>
      <c r="Q24" t="s">
        <v>137</v>
      </c>
      <c r="R24" t="s">
        <v>138</v>
      </c>
      <c r="T24" s="55"/>
    </row>
    <row r="25" spans="1:20">
      <c r="F25" s="48" t="s">
        <v>141</v>
      </c>
      <c r="G25">
        <v>0</v>
      </c>
      <c r="H25">
        <v>0</v>
      </c>
      <c r="I25" s="1">
        <v>91000</v>
      </c>
      <c r="J25">
        <v>0</v>
      </c>
      <c r="K25">
        <v>0</v>
      </c>
      <c r="L25">
        <v>0</v>
      </c>
      <c r="M25">
        <v>0</v>
      </c>
      <c r="N25" s="2">
        <v>45000</v>
      </c>
      <c r="O25" s="2">
        <v>175000</v>
      </c>
      <c r="P25">
        <v>0</v>
      </c>
      <c r="Q25">
        <v>0</v>
      </c>
      <c r="R25">
        <v>0</v>
      </c>
      <c r="S25" s="65" t="s">
        <v>487</v>
      </c>
      <c r="T25" s="107">
        <f>SUM(G25:R25)</f>
        <v>311000</v>
      </c>
    </row>
    <row r="26" spans="1:20" ht="18.600000000000001" thickBot="1">
      <c r="F26" s="50"/>
      <c r="G26" s="51"/>
      <c r="H26" s="51"/>
      <c r="I26" s="51" t="s">
        <v>516</v>
      </c>
      <c r="J26" s="51"/>
      <c r="K26" s="51"/>
      <c r="L26" s="51"/>
      <c r="M26" s="51"/>
      <c r="N26" s="51" t="s">
        <v>517</v>
      </c>
      <c r="O26" s="51" t="s">
        <v>518</v>
      </c>
      <c r="P26" s="51"/>
      <c r="Q26" s="51"/>
      <c r="R26" s="51"/>
      <c r="S26" s="66" t="s">
        <v>164</v>
      </c>
      <c r="T26" s="108">
        <f>T25-G23</f>
        <v>-139000</v>
      </c>
    </row>
    <row r="27" spans="1:20" ht="18.600000000000001" thickTop="1">
      <c r="I27" t="s">
        <v>519</v>
      </c>
      <c r="N27" t="s">
        <v>520</v>
      </c>
      <c r="O27" t="s">
        <v>521</v>
      </c>
    </row>
    <row r="28" spans="1:20">
      <c r="B28" t="s">
        <v>299</v>
      </c>
      <c r="C28" t="s">
        <v>522</v>
      </c>
    </row>
    <row r="29" spans="1:20">
      <c r="C29" t="s">
        <v>523</v>
      </c>
      <c r="D29" t="s">
        <v>153</v>
      </c>
      <c r="E29" t="s">
        <v>524</v>
      </c>
    </row>
    <row r="30" spans="1:20">
      <c r="B30" t="s">
        <v>510</v>
      </c>
      <c r="C30" s="2">
        <v>1300</v>
      </c>
      <c r="D30">
        <v>70</v>
      </c>
      <c r="E30">
        <v>12</v>
      </c>
      <c r="F30" t="s">
        <v>525</v>
      </c>
    </row>
    <row r="31" spans="1:20">
      <c r="B31" t="s">
        <v>511</v>
      </c>
      <c r="C31" s="2">
        <v>900</v>
      </c>
      <c r="D31">
        <v>50</v>
      </c>
      <c r="E31">
        <v>9</v>
      </c>
      <c r="F31" t="s">
        <v>525</v>
      </c>
    </row>
    <row r="32" spans="1:20">
      <c r="B32" t="s">
        <v>526</v>
      </c>
      <c r="C32" s="2">
        <v>1654</v>
      </c>
      <c r="D32">
        <v>200</v>
      </c>
      <c r="E32">
        <v>7</v>
      </c>
      <c r="F32" t="s">
        <v>525</v>
      </c>
      <c r="G32">
        <v>875</v>
      </c>
      <c r="H32" t="s">
        <v>527</v>
      </c>
    </row>
    <row r="33" spans="3:4">
      <c r="D33" s="2">
        <f>(C30*D30)+(C31*D31)+(C32*D32)</f>
        <v>466800</v>
      </c>
    </row>
    <row r="35" spans="3:4"/>
  </sheetData>
  <phoneticPr fontId="6"/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5969-0F46-420A-8632-357D2A2545D7}">
  <sheetPr codeName="Sheet12">
    <tabColor rgb="FFFFC000"/>
  </sheetPr>
  <dimension ref="A4:P18"/>
  <sheetViews>
    <sheetView zoomScale="84" workbookViewId="0">
      <selection activeCell="K20" sqref="K20"/>
    </sheetView>
  </sheetViews>
  <sheetFormatPr defaultRowHeight="18"/>
  <cols>
    <col min="1" max="1" width="8.625" customWidth="1"/>
    <col min="2" max="2" width="5" bestFit="1" customWidth="1"/>
    <col min="3" max="3" width="15.125" customWidth="1"/>
    <col min="4" max="4" width="11" bestFit="1" customWidth="1"/>
    <col min="5" max="5" width="12.625" customWidth="1"/>
    <col min="6" max="6" width="15.25" customWidth="1"/>
    <col min="7" max="7" width="14.25" customWidth="1"/>
    <col min="8" max="15" width="10.75" customWidth="1"/>
    <col min="16" max="16" width="9.375" bestFit="1" customWidth="1"/>
  </cols>
  <sheetData>
    <row r="4" spans="1:16">
      <c r="D4" s="11" t="s">
        <v>528</v>
      </c>
      <c r="F4" t="s">
        <v>389</v>
      </c>
      <c r="H4" s="25" t="s">
        <v>420</v>
      </c>
    </row>
    <row r="5" spans="1:16">
      <c r="B5" t="s">
        <v>156</v>
      </c>
      <c r="C5" s="2"/>
      <c r="D5" s="11" t="s">
        <v>156</v>
      </c>
      <c r="E5" s="11" t="s">
        <v>126</v>
      </c>
      <c r="F5" s="11" t="s">
        <v>156</v>
      </c>
      <c r="G5" s="11" t="s">
        <v>126</v>
      </c>
      <c r="H5" s="11" t="s">
        <v>156</v>
      </c>
      <c r="I5" s="11" t="s">
        <v>126</v>
      </c>
    </row>
    <row r="6" spans="1:16">
      <c r="B6" t="s">
        <v>126</v>
      </c>
      <c r="C6" s="2"/>
      <c r="D6" s="11">
        <f>E6*12</f>
        <v>4680000</v>
      </c>
      <c r="E6" s="11">
        <v>390000</v>
      </c>
      <c r="F6" s="11">
        <f>G6*12</f>
        <v>4680000</v>
      </c>
      <c r="G6" s="11">
        <v>390000</v>
      </c>
      <c r="H6" s="11">
        <f>I6*12</f>
        <v>4680000</v>
      </c>
      <c r="I6" s="26">
        <v>390000</v>
      </c>
    </row>
    <row r="7" spans="1:16">
      <c r="G7" s="1"/>
    </row>
    <row r="9" spans="1:16">
      <c r="A9" t="s">
        <v>420</v>
      </c>
      <c r="D9" t="s">
        <v>127</v>
      </c>
      <c r="E9" t="s">
        <v>159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</row>
    <row r="10" spans="1:16">
      <c r="A10" s="119" t="s">
        <v>529</v>
      </c>
      <c r="B10" s="120"/>
      <c r="C10" s="120" t="s">
        <v>140</v>
      </c>
      <c r="D10" s="121">
        <f>$G$6</f>
        <v>390000</v>
      </c>
      <c r="E10" s="121">
        <f t="shared" ref="E10:O10" si="0">$G$6</f>
        <v>390000</v>
      </c>
      <c r="F10" s="121">
        <f t="shared" si="0"/>
        <v>390000</v>
      </c>
      <c r="G10" s="121">
        <f t="shared" si="0"/>
        <v>390000</v>
      </c>
      <c r="H10" s="121">
        <f t="shared" si="0"/>
        <v>390000</v>
      </c>
      <c r="I10" s="121">
        <f t="shared" si="0"/>
        <v>390000</v>
      </c>
      <c r="J10" s="121">
        <f t="shared" si="0"/>
        <v>390000</v>
      </c>
      <c r="K10" s="121">
        <f t="shared" si="0"/>
        <v>390000</v>
      </c>
      <c r="L10" s="121">
        <f t="shared" si="0"/>
        <v>390000</v>
      </c>
      <c r="M10" s="121">
        <f t="shared" si="0"/>
        <v>390000</v>
      </c>
      <c r="N10" s="121">
        <f t="shared" si="0"/>
        <v>390000</v>
      </c>
      <c r="O10" s="121">
        <f t="shared" si="0"/>
        <v>390000</v>
      </c>
      <c r="P10" s="3">
        <f>SUM(D10:O10)</f>
        <v>4680000</v>
      </c>
    </row>
    <row r="14" spans="1:16">
      <c r="A14" t="s">
        <v>389</v>
      </c>
      <c r="D14" t="s">
        <v>127</v>
      </c>
      <c r="E14" t="s">
        <v>159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  <c r="P14" t="s">
        <v>139</v>
      </c>
    </row>
    <row r="15" spans="1:16">
      <c r="A15" s="119" t="s">
        <v>529</v>
      </c>
      <c r="B15" s="120"/>
      <c r="C15" s="120" t="s">
        <v>140</v>
      </c>
      <c r="D15" s="121">
        <f>$G$6</f>
        <v>390000</v>
      </c>
      <c r="E15" s="121">
        <f t="shared" ref="E15:O15" si="1">$G$6</f>
        <v>390000</v>
      </c>
      <c r="F15" s="121">
        <f t="shared" si="1"/>
        <v>390000</v>
      </c>
      <c r="G15" s="121">
        <f t="shared" si="1"/>
        <v>390000</v>
      </c>
      <c r="H15" s="121">
        <f t="shared" si="1"/>
        <v>390000</v>
      </c>
      <c r="I15" s="121">
        <f t="shared" si="1"/>
        <v>390000</v>
      </c>
      <c r="J15" s="121">
        <f t="shared" si="1"/>
        <v>390000</v>
      </c>
      <c r="K15" s="121">
        <f t="shared" si="1"/>
        <v>390000</v>
      </c>
      <c r="L15" s="121">
        <f t="shared" si="1"/>
        <v>390000</v>
      </c>
      <c r="M15" s="121">
        <f t="shared" si="1"/>
        <v>390000</v>
      </c>
      <c r="N15" s="121">
        <f t="shared" si="1"/>
        <v>390000</v>
      </c>
      <c r="O15" s="121">
        <f t="shared" si="1"/>
        <v>390000</v>
      </c>
      <c r="P15" s="3">
        <f>SUM(D15:O15)</f>
        <v>4680000</v>
      </c>
    </row>
    <row r="16" spans="1:16">
      <c r="C16" t="s">
        <v>141</v>
      </c>
      <c r="D16" s="2">
        <v>390000</v>
      </c>
      <c r="E16" s="2">
        <v>390000</v>
      </c>
      <c r="F16" s="2">
        <v>390000</v>
      </c>
      <c r="G16" s="2">
        <v>390000</v>
      </c>
      <c r="H16" s="2">
        <v>390000</v>
      </c>
      <c r="I16" s="2">
        <v>390000</v>
      </c>
      <c r="J16" s="2">
        <v>390000</v>
      </c>
      <c r="K16" s="2">
        <v>390000</v>
      </c>
      <c r="L16" s="2">
        <v>390000</v>
      </c>
      <c r="M16" s="2">
        <v>390000</v>
      </c>
      <c r="N16" s="2">
        <v>390000</v>
      </c>
      <c r="O16" s="2">
        <v>390000</v>
      </c>
      <c r="P16" s="2">
        <f>SUM(D16:O16)</f>
        <v>4680000</v>
      </c>
    </row>
    <row r="17" spans="3:16">
      <c r="O17" t="s">
        <v>164</v>
      </c>
      <c r="P17" s="3">
        <f>P15-P16</f>
        <v>0</v>
      </c>
    </row>
    <row r="18" spans="3:16">
      <c r="C18" s="10"/>
    </row>
  </sheetData>
  <phoneticPr fontId="6"/>
  <pageMargins left="0.7" right="0.7" top="0.75" bottom="0.75" header="0.3" footer="0.3"/>
  <drawing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5583-6159-4187-9830-BF2A173B19C9}">
  <sheetPr codeName="Sheet11">
    <tabColor rgb="FFFFC000"/>
  </sheetPr>
  <dimension ref="A1:T57"/>
  <sheetViews>
    <sheetView zoomScale="70" zoomScaleNormal="70" workbookViewId="0">
      <selection activeCell="K20" sqref="K20"/>
    </sheetView>
  </sheetViews>
  <sheetFormatPr defaultRowHeight="18"/>
  <cols>
    <col min="2" max="2" width="43" bestFit="1" customWidth="1"/>
    <col min="3" max="3" width="15.125" customWidth="1"/>
    <col min="4" max="4" width="11" bestFit="1" customWidth="1"/>
    <col min="6" max="6" width="15.625" customWidth="1"/>
    <col min="8" max="8" width="10.25" customWidth="1"/>
    <col min="11" max="11" width="12.75" bestFit="1" customWidth="1"/>
    <col min="12" max="12" width="9.375" bestFit="1" customWidth="1"/>
    <col min="13" max="13" width="10" bestFit="1" customWidth="1"/>
    <col min="16" max="16" width="9.375" bestFit="1" customWidth="1"/>
    <col min="17" max="17" width="12.125" customWidth="1"/>
  </cols>
  <sheetData>
    <row r="1" spans="2:17">
      <c r="B1" t="s">
        <v>374</v>
      </c>
      <c r="C1">
        <v>472</v>
      </c>
    </row>
    <row r="2" spans="2:17">
      <c r="B2" t="s">
        <v>375</v>
      </c>
      <c r="C2">
        <v>572</v>
      </c>
    </row>
    <row r="4" spans="2:17">
      <c r="D4" t="s">
        <v>377</v>
      </c>
      <c r="F4" t="s">
        <v>328</v>
      </c>
      <c r="H4" t="s">
        <v>192</v>
      </c>
      <c r="M4" t="s">
        <v>329</v>
      </c>
    </row>
    <row r="5" spans="2:17">
      <c r="C5" t="s">
        <v>378</v>
      </c>
      <c r="D5" t="s">
        <v>530</v>
      </c>
      <c r="F5" t="s">
        <v>530</v>
      </c>
      <c r="H5" t="s">
        <v>378</v>
      </c>
      <c r="I5" t="s">
        <v>531</v>
      </c>
      <c r="J5" t="s">
        <v>344</v>
      </c>
      <c r="K5" t="s">
        <v>139</v>
      </c>
      <c r="L5" t="s">
        <v>156</v>
      </c>
      <c r="M5" t="s">
        <v>378</v>
      </c>
      <c r="N5" t="s">
        <v>531</v>
      </c>
      <c r="O5" t="s">
        <v>344</v>
      </c>
      <c r="P5" t="s">
        <v>139</v>
      </c>
      <c r="Q5" t="s">
        <v>156</v>
      </c>
    </row>
    <row r="6" spans="2:17">
      <c r="B6" t="s">
        <v>532</v>
      </c>
      <c r="C6" s="2">
        <v>1730</v>
      </c>
      <c r="D6" s="2">
        <v>472</v>
      </c>
      <c r="E6" s="2">
        <f>C6*D6</f>
        <v>816560</v>
      </c>
      <c r="F6" s="2">
        <v>572</v>
      </c>
      <c r="G6" s="2">
        <f>C6*F6</f>
        <v>989560</v>
      </c>
      <c r="H6" s="2">
        <v>1730</v>
      </c>
      <c r="I6">
        <v>547</v>
      </c>
      <c r="J6">
        <v>160</v>
      </c>
      <c r="K6">
        <f>SUM(I6:J6)</f>
        <v>707</v>
      </c>
      <c r="L6" s="2">
        <f>H6*K6</f>
        <v>1223110</v>
      </c>
      <c r="M6" s="2">
        <v>1860</v>
      </c>
      <c r="N6">
        <v>547</v>
      </c>
      <c r="O6">
        <v>20</v>
      </c>
      <c r="P6">
        <f>SUM(N6:O6)</f>
        <v>567</v>
      </c>
      <c r="Q6" s="2">
        <f>M6*P6</f>
        <v>1054620</v>
      </c>
    </row>
    <row r="7" spans="2:17">
      <c r="B7" t="s">
        <v>533</v>
      </c>
      <c r="C7" s="2"/>
      <c r="D7" s="2"/>
      <c r="E7" s="2"/>
      <c r="F7" s="2"/>
      <c r="G7" s="2"/>
      <c r="O7">
        <v>20</v>
      </c>
    </row>
    <row r="8" spans="2:17">
      <c r="C8" s="2"/>
      <c r="D8" s="2"/>
      <c r="E8" s="2"/>
      <c r="F8" s="2"/>
      <c r="G8" s="2"/>
      <c r="H8" s="2"/>
    </row>
    <row r="9" spans="2:17">
      <c r="C9" s="2"/>
      <c r="D9" s="2"/>
      <c r="E9" s="2"/>
      <c r="F9" s="2"/>
      <c r="G9" s="2"/>
    </row>
    <row r="10" spans="2:17">
      <c r="B10" t="s">
        <v>156</v>
      </c>
      <c r="C10" s="2"/>
      <c r="D10" s="11"/>
      <c r="E10" s="11">
        <f>SUM(E6:E9)</f>
        <v>816560</v>
      </c>
      <c r="G10" s="3">
        <f>SUM(G6:G9)</f>
        <v>989560</v>
      </c>
      <c r="L10" s="3">
        <f>L6</f>
        <v>1223110</v>
      </c>
      <c r="Q10" s="3">
        <f>Q6</f>
        <v>1054620</v>
      </c>
    </row>
    <row r="11" spans="2:17">
      <c r="B11" t="s">
        <v>126</v>
      </c>
      <c r="C11" s="2"/>
      <c r="D11" s="11"/>
      <c r="E11" s="11">
        <f>E10/12</f>
        <v>68046.666666666672</v>
      </c>
      <c r="G11" s="3">
        <f>G10/12</f>
        <v>82463.333333333328</v>
      </c>
      <c r="L11" s="10">
        <f>L10/12</f>
        <v>101925.83333333333</v>
      </c>
      <c r="Q11">
        <f>Q10/12</f>
        <v>87885</v>
      </c>
    </row>
    <row r="12" spans="2:17">
      <c r="F12" t="s">
        <v>534</v>
      </c>
      <c r="G12" s="1">
        <v>85000</v>
      </c>
      <c r="K12" s="124" t="s">
        <v>535</v>
      </c>
      <c r="L12" s="124">
        <v>102000</v>
      </c>
    </row>
    <row r="13" spans="2:17">
      <c r="G13" s="1"/>
      <c r="K13" s="11"/>
      <c r="L13" s="11"/>
    </row>
    <row r="14" spans="2:17">
      <c r="G14" s="1"/>
      <c r="K14" s="11"/>
      <c r="L14" s="11"/>
    </row>
    <row r="15" spans="2:17">
      <c r="G15" s="1"/>
      <c r="K15" s="11"/>
      <c r="L15" s="11"/>
    </row>
    <row r="17" spans="1:20" ht="18.600000000000001" thickBot="1">
      <c r="A17" t="s">
        <v>124</v>
      </c>
    </row>
    <row r="18" spans="1:20">
      <c r="A18" s="74" t="s">
        <v>536</v>
      </c>
      <c r="B18" s="74"/>
      <c r="C18" s="74"/>
      <c r="D18" s="74" t="s">
        <v>127</v>
      </c>
      <c r="E18" s="74" t="s">
        <v>128</v>
      </c>
      <c r="F18" s="74" t="s">
        <v>129</v>
      </c>
      <c r="G18" s="74" t="s">
        <v>130</v>
      </c>
      <c r="H18" s="74" t="s">
        <v>131</v>
      </c>
      <c r="I18" s="74" t="s">
        <v>132</v>
      </c>
      <c r="J18" s="74" t="s">
        <v>133</v>
      </c>
      <c r="K18" s="74" t="s">
        <v>134</v>
      </c>
      <c r="L18" s="74" t="s">
        <v>135</v>
      </c>
      <c r="M18" s="74" t="s">
        <v>136</v>
      </c>
      <c r="N18" s="74" t="s">
        <v>137</v>
      </c>
      <c r="O18" s="74" t="s">
        <v>138</v>
      </c>
      <c r="P18" s="75"/>
    </row>
    <row r="19" spans="1:20">
      <c r="A19" s="76"/>
      <c r="B19" s="25" t="s">
        <v>140</v>
      </c>
      <c r="C19" s="120"/>
      <c r="D19" s="18">
        <v>92500</v>
      </c>
      <c r="E19" s="18">
        <v>92500</v>
      </c>
      <c r="F19" s="18">
        <v>92500</v>
      </c>
      <c r="G19" s="18">
        <v>92500</v>
      </c>
      <c r="H19" s="18">
        <v>92500</v>
      </c>
      <c r="I19" s="18">
        <f>92500+$I$22</f>
        <v>95600</v>
      </c>
      <c r="J19" s="18">
        <f t="shared" ref="J19:O19" si="0">92500+$I$22</f>
        <v>95600</v>
      </c>
      <c r="K19" s="18">
        <f t="shared" si="0"/>
        <v>95600</v>
      </c>
      <c r="L19" s="18">
        <f t="shared" si="0"/>
        <v>95600</v>
      </c>
      <c r="M19" s="18">
        <f t="shared" si="0"/>
        <v>95600</v>
      </c>
      <c r="N19" s="18">
        <f t="shared" si="0"/>
        <v>95600</v>
      </c>
      <c r="O19" s="18">
        <f t="shared" si="0"/>
        <v>95600</v>
      </c>
      <c r="P19" s="77">
        <f>SUM(D19:O19)</f>
        <v>1131700</v>
      </c>
      <c r="Q19" t="s">
        <v>537</v>
      </c>
      <c r="T19" s="3">
        <f>P19-P29</f>
        <v>51700</v>
      </c>
    </row>
    <row r="20" spans="1:20">
      <c r="A20" s="76"/>
      <c r="B20" t="s">
        <v>298</v>
      </c>
      <c r="D20" s="31">
        <v>547</v>
      </c>
      <c r="E20" s="31">
        <v>547</v>
      </c>
      <c r="F20" s="31">
        <v>547</v>
      </c>
      <c r="G20" s="31">
        <v>547</v>
      </c>
      <c r="H20" s="31">
        <v>547</v>
      </c>
      <c r="I20" s="31">
        <v>547</v>
      </c>
      <c r="J20" s="31">
        <v>547</v>
      </c>
      <c r="K20" s="31">
        <v>547</v>
      </c>
      <c r="L20" s="31">
        <v>547</v>
      </c>
      <c r="M20" s="31">
        <v>547</v>
      </c>
      <c r="N20" s="31">
        <v>547</v>
      </c>
      <c r="O20" s="31">
        <v>547</v>
      </c>
      <c r="P20" s="77"/>
      <c r="Q20" t="s">
        <v>538</v>
      </c>
      <c r="T20" s="3">
        <f>P19-P31</f>
        <v>148208</v>
      </c>
    </row>
    <row r="21" spans="1:20">
      <c r="A21" s="76"/>
      <c r="D21" s="31"/>
      <c r="E21" s="31"/>
      <c r="F21" s="31"/>
      <c r="G21" s="31"/>
      <c r="H21" s="31"/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77"/>
      <c r="T21" s="3"/>
    </row>
    <row r="22" spans="1:20">
      <c r="A22" s="76"/>
      <c r="D22" s="31"/>
      <c r="E22" s="31"/>
      <c r="F22" s="31"/>
      <c r="G22" s="31"/>
      <c r="H22" s="31"/>
      <c r="I22" s="31">
        <f>M6*20/12</f>
        <v>3100</v>
      </c>
      <c r="J22" s="31">
        <v>3100</v>
      </c>
      <c r="K22" s="31">
        <v>3100</v>
      </c>
      <c r="L22" s="31">
        <v>3100</v>
      </c>
      <c r="M22" s="31">
        <v>3100</v>
      </c>
      <c r="N22" s="31">
        <v>3100</v>
      </c>
      <c r="O22" s="31">
        <v>3100</v>
      </c>
      <c r="P22" s="77"/>
      <c r="T22" s="3"/>
    </row>
    <row r="23" spans="1:20">
      <c r="A23" s="76"/>
      <c r="B23" t="s">
        <v>141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81">
        <f>SUM(D23:O23)</f>
        <v>0</v>
      </c>
    </row>
    <row r="24" spans="1:20" ht="18.600000000000001" thickBot="1">
      <c r="A24" s="78"/>
      <c r="B24" s="79" t="s">
        <v>149</v>
      </c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2"/>
    </row>
    <row r="27" spans="1:20" ht="18.600000000000001" thickBot="1">
      <c r="A27" t="s">
        <v>123</v>
      </c>
      <c r="L27" t="s">
        <v>330</v>
      </c>
    </row>
    <row r="28" spans="1:20">
      <c r="A28" s="74" t="s">
        <v>536</v>
      </c>
      <c r="B28" s="74"/>
      <c r="C28" s="74"/>
      <c r="D28" s="74" t="s">
        <v>127</v>
      </c>
      <c r="E28" s="74" t="s">
        <v>128</v>
      </c>
      <c r="F28" s="74" t="s">
        <v>129</v>
      </c>
      <c r="G28" s="74" t="s">
        <v>130</v>
      </c>
      <c r="H28" s="74" t="s">
        <v>131</v>
      </c>
      <c r="I28" s="74" t="s">
        <v>132</v>
      </c>
      <c r="J28" s="74" t="s">
        <v>133</v>
      </c>
      <c r="K28" s="74" t="s">
        <v>134</v>
      </c>
      <c r="L28" s="74" t="s">
        <v>135</v>
      </c>
      <c r="M28" s="74" t="s">
        <v>136</v>
      </c>
      <c r="N28" s="74" t="s">
        <v>137</v>
      </c>
      <c r="O28" s="74" t="s">
        <v>138</v>
      </c>
      <c r="P28" s="75"/>
    </row>
    <row r="29" spans="1:20">
      <c r="A29" s="76"/>
      <c r="B29" s="65" t="s">
        <v>140</v>
      </c>
      <c r="C29" s="117"/>
      <c r="D29" s="118">
        <v>90000</v>
      </c>
      <c r="E29" s="118">
        <v>90000</v>
      </c>
      <c r="F29" s="118">
        <v>90000</v>
      </c>
      <c r="G29" s="118">
        <v>90000</v>
      </c>
      <c r="H29" s="118">
        <v>90000</v>
      </c>
      <c r="I29" s="118">
        <v>90000</v>
      </c>
      <c r="J29" s="118">
        <v>90000</v>
      </c>
      <c r="K29" s="118">
        <v>90000</v>
      </c>
      <c r="L29" s="118">
        <v>90000</v>
      </c>
      <c r="M29" s="118">
        <v>90000</v>
      </c>
      <c r="N29" s="118">
        <v>90000</v>
      </c>
      <c r="O29" s="118">
        <v>90000</v>
      </c>
      <c r="P29" s="77">
        <f>SUM(D29:O29)</f>
        <v>1080000</v>
      </c>
    </row>
    <row r="30" spans="1:20">
      <c r="A30" s="76"/>
      <c r="B30" t="s">
        <v>298</v>
      </c>
      <c r="D30" s="31">
        <v>547</v>
      </c>
      <c r="E30" s="31">
        <v>547</v>
      </c>
      <c r="F30" s="31">
        <v>547</v>
      </c>
      <c r="G30" s="31">
        <v>547</v>
      </c>
      <c r="H30" s="31">
        <v>547</v>
      </c>
      <c r="I30" s="31">
        <v>547</v>
      </c>
      <c r="J30" s="31">
        <v>547</v>
      </c>
      <c r="K30" s="31">
        <v>547</v>
      </c>
      <c r="L30" s="31">
        <v>547</v>
      </c>
      <c r="M30" s="31">
        <v>547</v>
      </c>
      <c r="N30" s="31">
        <v>547</v>
      </c>
      <c r="O30" s="31">
        <v>547</v>
      </c>
      <c r="P30" s="77"/>
    </row>
    <row r="31" spans="1:20">
      <c r="A31" s="76"/>
      <c r="B31" t="s">
        <v>141</v>
      </c>
      <c r="D31" s="31">
        <v>78860</v>
      </c>
      <c r="E31" s="31">
        <v>78860</v>
      </c>
      <c r="F31" s="31">
        <v>78860</v>
      </c>
      <c r="G31" s="31">
        <v>78860</v>
      </c>
      <c r="H31" s="31">
        <v>78860</v>
      </c>
      <c r="I31" s="31">
        <v>78860</v>
      </c>
      <c r="J31" s="31">
        <v>78860</v>
      </c>
      <c r="K31" s="31">
        <v>78860</v>
      </c>
      <c r="L31" s="31">
        <v>86306</v>
      </c>
      <c r="M31" s="31">
        <v>86306</v>
      </c>
      <c r="N31" s="31">
        <v>90000</v>
      </c>
      <c r="O31" s="31">
        <v>90000</v>
      </c>
      <c r="P31" s="81">
        <f>SUM(D31:O31)</f>
        <v>983492</v>
      </c>
    </row>
    <row r="32" spans="1:20" ht="18.600000000000001" thickBot="1">
      <c r="A32" s="78"/>
      <c r="B32" s="79" t="s">
        <v>149</v>
      </c>
      <c r="C32" s="79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2"/>
    </row>
    <row r="36" spans="1:18" ht="18.600000000000001" thickBot="1"/>
    <row r="37" spans="1:18" ht="18.600000000000001" thickTop="1">
      <c r="A37" s="44" t="s">
        <v>147</v>
      </c>
      <c r="B37" s="45"/>
      <c r="C37" s="45"/>
      <c r="D37" s="45" t="s">
        <v>127</v>
      </c>
      <c r="E37" s="45" t="s">
        <v>128</v>
      </c>
      <c r="F37" s="45" t="s">
        <v>129</v>
      </c>
      <c r="G37" s="45" t="s">
        <v>130</v>
      </c>
      <c r="H37" s="45" t="s">
        <v>131</v>
      </c>
      <c r="I37" s="45" t="s">
        <v>132</v>
      </c>
      <c r="J37" s="45" t="s">
        <v>133</v>
      </c>
      <c r="K37" s="45" t="s">
        <v>134</v>
      </c>
      <c r="L37" s="45" t="s">
        <v>135</v>
      </c>
      <c r="M37" s="45" t="s">
        <v>136</v>
      </c>
      <c r="N37" s="45" t="s">
        <v>137</v>
      </c>
      <c r="O37" s="45" t="s">
        <v>138</v>
      </c>
      <c r="P37" s="45"/>
      <c r="Q37" s="45"/>
      <c r="R37" s="54"/>
    </row>
    <row r="38" spans="1:18">
      <c r="A38" s="48"/>
      <c r="B38" t="s">
        <v>140</v>
      </c>
      <c r="D38" s="31">
        <v>85000</v>
      </c>
      <c r="E38" s="31">
        <v>85000</v>
      </c>
      <c r="F38" s="31">
        <v>85000</v>
      </c>
      <c r="G38" s="31">
        <v>85000</v>
      </c>
      <c r="H38" s="31">
        <v>85000</v>
      </c>
      <c r="I38" s="31">
        <v>85000</v>
      </c>
      <c r="J38" s="31">
        <v>85000</v>
      </c>
      <c r="K38" s="31">
        <v>85000</v>
      </c>
      <c r="L38" s="109">
        <v>85000</v>
      </c>
      <c r="M38" s="109">
        <v>85000</v>
      </c>
      <c r="N38" s="109">
        <v>85000</v>
      </c>
      <c r="O38" s="109">
        <v>85000</v>
      </c>
      <c r="P38" s="31">
        <f>SUM(D38:O38)</f>
        <v>1020000</v>
      </c>
      <c r="R38" s="55"/>
    </row>
    <row r="39" spans="1:18">
      <c r="A39" s="48"/>
      <c r="B39" t="s">
        <v>298</v>
      </c>
      <c r="C39" s="31">
        <v>1730</v>
      </c>
      <c r="D39" s="31">
        <v>472</v>
      </c>
      <c r="E39" s="31">
        <v>472</v>
      </c>
      <c r="F39" s="31">
        <v>472</v>
      </c>
      <c r="G39" s="31">
        <v>472</v>
      </c>
      <c r="H39" s="31">
        <v>472</v>
      </c>
      <c r="I39" s="31">
        <v>472</v>
      </c>
      <c r="J39" s="31">
        <v>472</v>
      </c>
      <c r="K39" s="31">
        <v>472</v>
      </c>
      <c r="L39" s="110">
        <v>547</v>
      </c>
      <c r="M39" s="110">
        <v>547</v>
      </c>
      <c r="N39" s="110">
        <v>547</v>
      </c>
      <c r="O39" s="110">
        <v>547</v>
      </c>
      <c r="P39" s="31"/>
      <c r="Q39" t="s">
        <v>539</v>
      </c>
      <c r="R39" t="s">
        <v>540</v>
      </c>
    </row>
    <row r="40" spans="1:18">
      <c r="A40" s="48"/>
      <c r="C40" s="31">
        <v>1450</v>
      </c>
      <c r="D40" s="31">
        <v>40</v>
      </c>
      <c r="E40" s="31">
        <v>40</v>
      </c>
      <c r="F40" s="31">
        <v>40</v>
      </c>
      <c r="G40" s="31">
        <v>40</v>
      </c>
      <c r="H40" s="31">
        <v>40</v>
      </c>
      <c r="I40" s="31">
        <v>40</v>
      </c>
      <c r="J40" s="31">
        <v>40</v>
      </c>
      <c r="K40" s="31">
        <v>40</v>
      </c>
      <c r="L40" s="31"/>
      <c r="M40" s="31"/>
      <c r="N40" s="31"/>
      <c r="O40" s="31"/>
      <c r="P40" s="31"/>
      <c r="Q40" t="s">
        <v>541</v>
      </c>
      <c r="R40" t="s">
        <v>542</v>
      </c>
    </row>
    <row r="41" spans="1:18">
      <c r="A41" s="48"/>
      <c r="B41" t="s">
        <v>543</v>
      </c>
      <c r="C41" s="31">
        <v>865</v>
      </c>
      <c r="D41" s="31"/>
      <c r="E41" s="31"/>
      <c r="F41" s="31">
        <v>35</v>
      </c>
      <c r="G41" s="31">
        <v>35</v>
      </c>
      <c r="H41" s="31">
        <v>35</v>
      </c>
      <c r="I41" s="31">
        <v>35</v>
      </c>
      <c r="J41" s="31">
        <v>35</v>
      </c>
      <c r="K41" s="31">
        <v>35</v>
      </c>
      <c r="L41" s="31"/>
      <c r="M41" s="31"/>
      <c r="N41" s="31"/>
      <c r="O41" s="31"/>
      <c r="P41" s="31"/>
      <c r="Q41" t="s">
        <v>544</v>
      </c>
      <c r="R41" t="s">
        <v>545</v>
      </c>
    </row>
    <row r="42" spans="1:18">
      <c r="A42" s="48"/>
      <c r="B42" t="s">
        <v>141</v>
      </c>
      <c r="D42" s="31">
        <f>$C$39*D39/12+$C$40*D$40/10+$C$41*D$41/6</f>
        <v>73846.666666666672</v>
      </c>
      <c r="E42" s="31">
        <f t="shared" ref="E42:N42" si="1">$C$39*E39/12+$C$40*E$40/10+$C$41*E$41/6</f>
        <v>73846.666666666672</v>
      </c>
      <c r="F42" s="31">
        <f t="shared" si="1"/>
        <v>78892.5</v>
      </c>
      <c r="G42" s="31">
        <f t="shared" si="1"/>
        <v>78892.5</v>
      </c>
      <c r="H42" s="31">
        <f t="shared" si="1"/>
        <v>78892.5</v>
      </c>
      <c r="I42" s="31">
        <f t="shared" si="1"/>
        <v>78892.5</v>
      </c>
      <c r="J42" s="31">
        <f t="shared" si="1"/>
        <v>78892.5</v>
      </c>
      <c r="K42" s="31">
        <f t="shared" si="1"/>
        <v>78892.5</v>
      </c>
      <c r="L42" s="31">
        <f t="shared" si="1"/>
        <v>78859.166666666672</v>
      </c>
      <c r="M42" s="31">
        <f t="shared" si="1"/>
        <v>78859.166666666672</v>
      </c>
      <c r="N42" s="31">
        <f t="shared" si="1"/>
        <v>78859.166666666672</v>
      </c>
      <c r="O42" s="31">
        <f t="shared" ref="O42" si="2">O$39*$C$39/12</f>
        <v>78859.166666666672</v>
      </c>
      <c r="P42" s="84">
        <f>SUM(D42:O42)</f>
        <v>936484.99999999988</v>
      </c>
      <c r="R42" s="55"/>
    </row>
    <row r="43" spans="1:18" ht="18.600000000000001" thickBot="1">
      <c r="A43" s="50"/>
      <c r="B43" s="51" t="s">
        <v>149</v>
      </c>
      <c r="C43" s="51"/>
      <c r="D43" s="71">
        <f>D$38-D$42</f>
        <v>11153.333333333328</v>
      </c>
      <c r="E43" s="71">
        <f t="shared" ref="E43:O43" si="3">E$38-E$42</f>
        <v>11153.333333333328</v>
      </c>
      <c r="F43" s="71">
        <f t="shared" si="3"/>
        <v>6107.5</v>
      </c>
      <c r="G43" s="71">
        <f t="shared" si="3"/>
        <v>6107.5</v>
      </c>
      <c r="H43" s="71">
        <f t="shared" si="3"/>
        <v>6107.5</v>
      </c>
      <c r="I43" s="71">
        <f t="shared" si="3"/>
        <v>6107.5</v>
      </c>
      <c r="J43" s="71">
        <f t="shared" si="3"/>
        <v>6107.5</v>
      </c>
      <c r="K43" s="71">
        <f t="shared" si="3"/>
        <v>6107.5</v>
      </c>
      <c r="L43" s="71">
        <f t="shared" si="3"/>
        <v>6140.8333333333285</v>
      </c>
      <c r="M43" s="71">
        <f t="shared" si="3"/>
        <v>6140.8333333333285</v>
      </c>
      <c r="N43" s="71">
        <f t="shared" si="3"/>
        <v>6140.8333333333285</v>
      </c>
      <c r="O43" s="71">
        <f t="shared" si="3"/>
        <v>6140.8333333333285</v>
      </c>
      <c r="P43" s="85">
        <f>P42-P38</f>
        <v>-83515.000000000116</v>
      </c>
      <c r="Q43" s="51"/>
      <c r="R43" s="56"/>
    </row>
    <row r="44" spans="1:18" ht="18.600000000000001" thickTop="1"/>
    <row r="45" spans="1:18"/>
    <row r="46" spans="1:18">
      <c r="B46" t="s">
        <v>374</v>
      </c>
      <c r="C46">
        <v>472</v>
      </c>
    </row>
    <row r="47" spans="1:18">
      <c r="B47" t="s">
        <v>375</v>
      </c>
      <c r="C47">
        <v>572</v>
      </c>
    </row>
    <row r="49" spans="2:12">
      <c r="D49" t="s">
        <v>377</v>
      </c>
      <c r="F49" t="s">
        <v>328</v>
      </c>
      <c r="H49" t="s">
        <v>192</v>
      </c>
    </row>
    <row r="50" spans="2:12">
      <c r="C50" t="s">
        <v>378</v>
      </c>
      <c r="D50" t="s">
        <v>530</v>
      </c>
      <c r="F50" t="s">
        <v>530</v>
      </c>
      <c r="H50" t="s">
        <v>378</v>
      </c>
      <c r="I50" t="s">
        <v>531</v>
      </c>
      <c r="J50" t="s">
        <v>344</v>
      </c>
      <c r="K50" t="s">
        <v>139</v>
      </c>
      <c r="L50" t="s">
        <v>156</v>
      </c>
    </row>
    <row r="51" spans="2:12">
      <c r="B51" t="s">
        <v>532</v>
      </c>
      <c r="C51" s="2">
        <v>1730</v>
      </c>
      <c r="D51" s="2">
        <v>472</v>
      </c>
      <c r="E51" s="2">
        <f>C51*D51</f>
        <v>816560</v>
      </c>
      <c r="F51" s="2">
        <v>572</v>
      </c>
      <c r="G51" s="2">
        <f>C51*F51</f>
        <v>989560</v>
      </c>
      <c r="H51" s="2">
        <v>1730</v>
      </c>
      <c r="I51">
        <v>547</v>
      </c>
      <c r="K51">
        <f>SUM(I51:J51)</f>
        <v>547</v>
      </c>
      <c r="L51" s="2">
        <f>H51*K51</f>
        <v>946310</v>
      </c>
    </row>
    <row r="52" spans="2:12">
      <c r="B52" t="s">
        <v>533</v>
      </c>
      <c r="C52" s="2"/>
      <c r="D52" s="2"/>
      <c r="E52" s="2"/>
      <c r="F52" s="2"/>
      <c r="G52" s="2"/>
    </row>
    <row r="53" spans="2:12">
      <c r="C53" s="2"/>
      <c r="D53" s="2"/>
      <c r="E53" s="2"/>
      <c r="F53" s="2"/>
      <c r="G53" s="2"/>
      <c r="H53" s="2"/>
    </row>
    <row r="54" spans="2:12">
      <c r="C54" s="2"/>
      <c r="D54" s="2"/>
      <c r="E54" s="2"/>
      <c r="F54" s="2"/>
      <c r="G54" s="2"/>
    </row>
    <row r="55" spans="2:12">
      <c r="B55" t="s">
        <v>156</v>
      </c>
      <c r="C55" s="2"/>
      <c r="D55" s="2"/>
      <c r="E55" s="2">
        <f>SUM(E51:E54)</f>
        <v>816560</v>
      </c>
      <c r="G55" s="3">
        <f>SUM(G51:G54)</f>
        <v>989560</v>
      </c>
      <c r="L55" s="3">
        <f>L51</f>
        <v>946310</v>
      </c>
    </row>
    <row r="56" spans="2:12">
      <c r="B56" t="s">
        <v>126</v>
      </c>
      <c r="C56" s="2"/>
      <c r="D56" s="2"/>
      <c r="E56" s="2">
        <f>E55/12</f>
        <v>68046.666666666672</v>
      </c>
      <c r="G56" s="3">
        <f>G55/12</f>
        <v>82463.333333333328</v>
      </c>
      <c r="L56" s="10">
        <f>L55/12</f>
        <v>78859.166666666672</v>
      </c>
    </row>
    <row r="57" spans="2:12">
      <c r="F57" t="s">
        <v>534</v>
      </c>
      <c r="G57" s="1">
        <v>85000</v>
      </c>
      <c r="K57" s="124" t="s">
        <v>535</v>
      </c>
      <c r="L57" s="124">
        <v>102000</v>
      </c>
    </row>
  </sheetData>
  <phoneticPr fontId="6"/>
  <pageMargins left="0.7" right="0.7" top="0.75" bottom="0.75" header="0.3" footer="0.3"/>
  <drawing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2A61-C4FF-4B87-8F74-AC84E1249305}">
  <sheetPr codeName="Sheet10">
    <tabColor rgb="FFFFC000"/>
  </sheetPr>
  <dimension ref="A1:R57"/>
  <sheetViews>
    <sheetView topLeftCell="A7" zoomScale="85" zoomScaleNormal="85" workbookViewId="0">
      <selection activeCell="K20" sqref="K20"/>
    </sheetView>
  </sheetViews>
  <sheetFormatPr defaultRowHeight="18"/>
  <cols>
    <col min="1" max="1" width="11.375" bestFit="1" customWidth="1"/>
    <col min="2" max="2" width="43" bestFit="1" customWidth="1"/>
    <col min="3" max="3" width="15.125" customWidth="1"/>
    <col min="4" max="4" width="11" bestFit="1" customWidth="1"/>
    <col min="5" max="5" width="18.375" customWidth="1"/>
    <col min="6" max="6" width="14.5" bestFit="1" customWidth="1"/>
    <col min="7" max="7" width="9.375" bestFit="1" customWidth="1"/>
    <col min="8" max="8" width="15.875" customWidth="1"/>
    <col min="9" max="9" width="11.75" customWidth="1"/>
    <col min="10" max="10" width="13.25" customWidth="1"/>
    <col min="11" max="11" width="11" bestFit="1" customWidth="1"/>
    <col min="12" max="12" width="14.625" customWidth="1"/>
    <col min="14" max="14" width="9.875" bestFit="1" customWidth="1"/>
    <col min="16" max="16" width="18.125" customWidth="1"/>
  </cols>
  <sheetData>
    <row r="1" spans="2:15">
      <c r="C1" t="s">
        <v>546</v>
      </c>
      <c r="D1" t="s">
        <v>547</v>
      </c>
      <c r="E1" t="s">
        <v>548</v>
      </c>
      <c r="F1" t="s">
        <v>139</v>
      </c>
    </row>
    <row r="2" spans="2:15">
      <c r="B2" t="s">
        <v>374</v>
      </c>
      <c r="C2">
        <v>70</v>
      </c>
      <c r="D2">
        <v>20</v>
      </c>
      <c r="F2">
        <v>90</v>
      </c>
    </row>
    <row r="3" spans="2:15">
      <c r="B3" t="s">
        <v>375</v>
      </c>
      <c r="C3">
        <v>70</v>
      </c>
      <c r="D3">
        <v>20</v>
      </c>
      <c r="F3">
        <v>90</v>
      </c>
    </row>
    <row r="4" spans="2:15">
      <c r="B4" t="s">
        <v>549</v>
      </c>
      <c r="C4">
        <v>101</v>
      </c>
      <c r="D4">
        <v>20</v>
      </c>
      <c r="E4">
        <v>20</v>
      </c>
      <c r="F4">
        <f>SUM(C4:E4)</f>
        <v>141</v>
      </c>
    </row>
    <row r="5" spans="2:15">
      <c r="B5" t="s">
        <v>550</v>
      </c>
      <c r="C5">
        <v>90</v>
      </c>
      <c r="D5">
        <v>20</v>
      </c>
    </row>
    <row r="7" spans="2:15">
      <c r="E7" t="s">
        <v>377</v>
      </c>
      <c r="G7" t="s">
        <v>328</v>
      </c>
      <c r="I7" t="s">
        <v>192</v>
      </c>
      <c r="L7" t="s">
        <v>329</v>
      </c>
    </row>
    <row r="8" spans="2:15">
      <c r="D8" t="s">
        <v>378</v>
      </c>
      <c r="E8" t="s">
        <v>153</v>
      </c>
      <c r="I8" t="s">
        <v>378</v>
      </c>
      <c r="L8" t="s">
        <v>378</v>
      </c>
      <c r="N8" t="s">
        <v>156</v>
      </c>
      <c r="O8" t="s">
        <v>126</v>
      </c>
    </row>
    <row r="9" spans="2:15">
      <c r="B9" t="s">
        <v>551</v>
      </c>
      <c r="C9" t="s">
        <v>552</v>
      </c>
      <c r="D9" s="2">
        <v>35100</v>
      </c>
      <c r="E9" s="2">
        <v>90</v>
      </c>
      <c r="F9" s="2">
        <f>D9*E9</f>
        <v>3159000</v>
      </c>
      <c r="G9" s="2">
        <v>90</v>
      </c>
      <c r="H9" s="2">
        <f>D9*G9</f>
        <v>3159000</v>
      </c>
      <c r="I9" s="2">
        <v>29900</v>
      </c>
      <c r="J9" s="2">
        <v>121</v>
      </c>
      <c r="K9" s="2">
        <f>I9*J9</f>
        <v>3617900</v>
      </c>
      <c r="L9" s="2">
        <v>28100</v>
      </c>
      <c r="M9" s="2">
        <v>90</v>
      </c>
      <c r="N9" s="2">
        <f>M9*L9</f>
        <v>2529000</v>
      </c>
      <c r="O9" s="2">
        <f>N9/12</f>
        <v>210750</v>
      </c>
    </row>
    <row r="10" spans="2:15">
      <c r="C10" t="s">
        <v>553</v>
      </c>
      <c r="D10" s="2"/>
      <c r="E10" s="2">
        <v>20</v>
      </c>
      <c r="F10" s="2">
        <f>D9*E10</f>
        <v>702000</v>
      </c>
      <c r="G10" s="2"/>
      <c r="H10" s="2"/>
      <c r="J10">
        <v>20</v>
      </c>
      <c r="K10" s="2">
        <f>I9*J10</f>
        <v>598000</v>
      </c>
      <c r="M10">
        <v>20</v>
      </c>
      <c r="N10" s="2">
        <f>M10*L9</f>
        <v>562000</v>
      </c>
      <c r="O10" s="2">
        <f>N10/12</f>
        <v>46833.333333333336</v>
      </c>
    </row>
    <row r="11" spans="2:15">
      <c r="C11" s="2"/>
      <c r="D11" s="2"/>
      <c r="E11" s="2"/>
      <c r="F11" s="2"/>
      <c r="G11" s="2"/>
    </row>
    <row r="12" spans="2:15">
      <c r="C12" s="2"/>
      <c r="D12" s="2"/>
      <c r="E12" s="2"/>
      <c r="F12" t="s">
        <v>388</v>
      </c>
      <c r="G12" s="2"/>
      <c r="I12" t="s">
        <v>389</v>
      </c>
    </row>
    <row r="13" spans="2:15">
      <c r="B13" t="s">
        <v>156</v>
      </c>
      <c r="C13" s="2"/>
      <c r="D13" s="11"/>
      <c r="E13" s="11">
        <f>SUM(E9:E12)</f>
        <v>110</v>
      </c>
      <c r="G13" s="3">
        <f>SUM(G9:G12)</f>
        <v>90</v>
      </c>
      <c r="I13" t="s">
        <v>546</v>
      </c>
      <c r="J13" t="s">
        <v>156</v>
      </c>
      <c r="K13" s="11">
        <f>K9</f>
        <v>3617900</v>
      </c>
      <c r="L13" s="11">
        <f>L14*12</f>
        <v>3624000</v>
      </c>
    </row>
    <row r="14" spans="2:15">
      <c r="B14" t="s">
        <v>126</v>
      </c>
      <c r="C14" s="2"/>
      <c r="D14" s="11"/>
      <c r="E14" s="11">
        <f>E13/12</f>
        <v>9.1666666666666661</v>
      </c>
      <c r="G14" s="3">
        <f>G13/12</f>
        <v>7.5</v>
      </c>
      <c r="J14" t="s">
        <v>126</v>
      </c>
      <c r="K14" s="11">
        <f>K13/12</f>
        <v>301491.66666666669</v>
      </c>
      <c r="L14" s="11">
        <v>302000</v>
      </c>
    </row>
    <row r="15" spans="2:15">
      <c r="G15" s="1"/>
      <c r="I15" t="s">
        <v>547</v>
      </c>
      <c r="J15" t="s">
        <v>156</v>
      </c>
      <c r="K15" s="11">
        <f>K10</f>
        <v>598000</v>
      </c>
      <c r="L15" s="11">
        <f>L16*12</f>
        <v>600000</v>
      </c>
    </row>
    <row r="16" spans="2:15">
      <c r="G16" s="1"/>
      <c r="J16" t="s">
        <v>126</v>
      </c>
      <c r="K16" s="11">
        <f>K15/12</f>
        <v>49833.333333333336</v>
      </c>
      <c r="L16" s="11">
        <v>50000</v>
      </c>
    </row>
    <row r="17" spans="1:16" ht="18.600000000000001" thickBot="1">
      <c r="A17" t="s">
        <v>124</v>
      </c>
      <c r="I17" s="25" t="s">
        <v>554</v>
      </c>
    </row>
    <row r="18" spans="1:16">
      <c r="A18" s="74" t="s">
        <v>555</v>
      </c>
      <c r="B18" s="74"/>
      <c r="C18" s="74"/>
      <c r="D18" s="74" t="s">
        <v>127</v>
      </c>
      <c r="E18" s="74" t="s">
        <v>128</v>
      </c>
      <c r="F18" s="74" t="s">
        <v>129</v>
      </c>
      <c r="G18" s="74" t="s">
        <v>130</v>
      </c>
      <c r="H18" s="74" t="s">
        <v>131</v>
      </c>
      <c r="I18" s="74" t="s">
        <v>132</v>
      </c>
      <c r="J18" s="74" t="s">
        <v>133</v>
      </c>
      <c r="K18" s="74" t="s">
        <v>134</v>
      </c>
      <c r="L18" s="74" t="s">
        <v>135</v>
      </c>
      <c r="M18" s="74" t="s">
        <v>136</v>
      </c>
      <c r="N18" s="74" t="s">
        <v>137</v>
      </c>
      <c r="O18" s="74" t="s">
        <v>138</v>
      </c>
      <c r="P18" s="75"/>
    </row>
    <row r="19" spans="1:16">
      <c r="A19" s="76"/>
      <c r="B19" s="65" t="s">
        <v>140</v>
      </c>
      <c r="C19" s="117"/>
      <c r="D19" s="118">
        <v>220000</v>
      </c>
      <c r="E19" s="118">
        <v>220000</v>
      </c>
      <c r="F19" s="118">
        <v>220000</v>
      </c>
      <c r="G19" s="118">
        <v>220000</v>
      </c>
      <c r="H19" s="118">
        <v>220000</v>
      </c>
      <c r="I19" s="118">
        <v>220000</v>
      </c>
      <c r="J19" s="118">
        <v>220000</v>
      </c>
      <c r="K19" s="118">
        <v>220000</v>
      </c>
      <c r="L19" s="118">
        <v>220000</v>
      </c>
      <c r="M19" s="118">
        <v>220000</v>
      </c>
      <c r="N19" s="118">
        <v>220000</v>
      </c>
      <c r="O19" s="118">
        <v>220000</v>
      </c>
      <c r="P19" s="77">
        <f>SUM(D19:O19)</f>
        <v>2640000</v>
      </c>
    </row>
    <row r="20" spans="1:16">
      <c r="A20" s="76"/>
      <c r="B20" t="s">
        <v>298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77"/>
    </row>
    <row r="21" spans="1:16">
      <c r="A21" s="76"/>
      <c r="B21" t="s">
        <v>141</v>
      </c>
      <c r="D21" s="31">
        <v>301492</v>
      </c>
      <c r="E21" s="31">
        <v>301492</v>
      </c>
      <c r="F21" s="31">
        <v>301492</v>
      </c>
      <c r="G21" s="31">
        <v>301492</v>
      </c>
      <c r="H21" s="31">
        <v>301492</v>
      </c>
      <c r="I21" s="31">
        <v>301490</v>
      </c>
      <c r="J21" s="31">
        <v>257584</v>
      </c>
      <c r="K21" s="31">
        <v>257584</v>
      </c>
      <c r="L21" s="31">
        <v>257584</v>
      </c>
      <c r="M21" s="31"/>
      <c r="N21" s="31"/>
      <c r="O21" s="31"/>
      <c r="P21" s="90"/>
    </row>
    <row r="22" spans="1:16" ht="18.600000000000001" thickBot="1">
      <c r="A22" s="78"/>
      <c r="B22" s="79" t="s">
        <v>149</v>
      </c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313"/>
    </row>
    <row r="23" spans="1:16" ht="18.600000000000001" thickBot="1"/>
    <row r="24" spans="1:16">
      <c r="A24" s="74" t="s">
        <v>556</v>
      </c>
      <c r="B24" s="74"/>
      <c r="C24" s="74"/>
      <c r="D24" s="74" t="s">
        <v>127</v>
      </c>
      <c r="E24" s="74" t="s">
        <v>128</v>
      </c>
      <c r="F24" s="74" t="s">
        <v>129</v>
      </c>
      <c r="G24" s="74" t="s">
        <v>130</v>
      </c>
      <c r="H24" s="74" t="s">
        <v>131</v>
      </c>
      <c r="I24" s="74" t="s">
        <v>132</v>
      </c>
      <c r="J24" s="74" t="s">
        <v>133</v>
      </c>
      <c r="K24" s="74" t="s">
        <v>134</v>
      </c>
      <c r="L24" s="74" t="s">
        <v>135</v>
      </c>
      <c r="M24" s="74" t="s">
        <v>136</v>
      </c>
      <c r="N24" s="74" t="s">
        <v>137</v>
      </c>
      <c r="O24" s="74" t="s">
        <v>138</v>
      </c>
      <c r="P24" s="75"/>
    </row>
    <row r="25" spans="1:16">
      <c r="A25" s="76"/>
      <c r="B25" s="65" t="s">
        <v>140</v>
      </c>
      <c r="C25" s="117"/>
      <c r="D25" s="118">
        <f>$L$16</f>
        <v>50000</v>
      </c>
      <c r="E25" s="118">
        <f t="shared" ref="E25:O25" si="0">$L$16</f>
        <v>50000</v>
      </c>
      <c r="F25" s="118">
        <f t="shared" si="0"/>
        <v>50000</v>
      </c>
      <c r="G25" s="118">
        <f t="shared" si="0"/>
        <v>50000</v>
      </c>
      <c r="H25" s="118">
        <f t="shared" si="0"/>
        <v>50000</v>
      </c>
      <c r="I25" s="118">
        <f t="shared" si="0"/>
        <v>50000</v>
      </c>
      <c r="J25" s="118">
        <f t="shared" si="0"/>
        <v>50000</v>
      </c>
      <c r="K25" s="118">
        <f t="shared" si="0"/>
        <v>50000</v>
      </c>
      <c r="L25" s="118">
        <f t="shared" si="0"/>
        <v>50000</v>
      </c>
      <c r="M25" s="118">
        <f t="shared" si="0"/>
        <v>50000</v>
      </c>
      <c r="N25" s="118">
        <f t="shared" si="0"/>
        <v>50000</v>
      </c>
      <c r="O25" s="118">
        <f t="shared" si="0"/>
        <v>50000</v>
      </c>
      <c r="P25" s="77">
        <f>SUM(D25:O25)</f>
        <v>600000</v>
      </c>
    </row>
    <row r="26" spans="1:16">
      <c r="A26" s="76"/>
      <c r="B26" t="s">
        <v>298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77"/>
    </row>
    <row r="27" spans="1:16">
      <c r="A27" s="76"/>
      <c r="B27" t="s">
        <v>141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90"/>
    </row>
    <row r="28" spans="1:16" ht="18.600000000000001" thickBot="1">
      <c r="A28" s="78"/>
      <c r="B28" s="79" t="s">
        <v>149</v>
      </c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313"/>
    </row>
    <row r="29" spans="1:16">
      <c r="G29" s="1"/>
    </row>
    <row r="30" spans="1:16">
      <c r="G30" s="1"/>
    </row>
    <row r="31" spans="1:16" ht="18.600000000000001" thickBot="1">
      <c r="A31" t="s">
        <v>123</v>
      </c>
      <c r="I31" s="25" t="s">
        <v>554</v>
      </c>
    </row>
    <row r="32" spans="1:16">
      <c r="A32" s="74" t="s">
        <v>555</v>
      </c>
      <c r="B32" s="74"/>
      <c r="C32" s="74"/>
      <c r="D32" s="74" t="s">
        <v>127</v>
      </c>
      <c r="E32" s="74" t="s">
        <v>128</v>
      </c>
      <c r="F32" s="74" t="s">
        <v>129</v>
      </c>
      <c r="G32" s="74" t="s">
        <v>130</v>
      </c>
      <c r="H32" s="74" t="s">
        <v>131</v>
      </c>
      <c r="I32" s="74" t="s">
        <v>132</v>
      </c>
      <c r="J32" s="74" t="s">
        <v>133</v>
      </c>
      <c r="K32" s="74" t="s">
        <v>134</v>
      </c>
      <c r="L32" s="74" t="s">
        <v>135</v>
      </c>
      <c r="M32" s="74" t="s">
        <v>136</v>
      </c>
      <c r="N32" s="74" t="s">
        <v>137</v>
      </c>
      <c r="O32" s="74" t="s">
        <v>138</v>
      </c>
      <c r="P32" s="75"/>
    </row>
    <row r="33" spans="1:18">
      <c r="A33" s="76"/>
      <c r="B33" s="65" t="s">
        <v>140</v>
      </c>
      <c r="C33" s="117"/>
      <c r="D33" s="118">
        <v>302000</v>
      </c>
      <c r="E33" s="118">
        <v>302000</v>
      </c>
      <c r="F33" s="118">
        <v>302000</v>
      </c>
      <c r="G33" s="118">
        <v>302000</v>
      </c>
      <c r="H33" s="118">
        <v>302000</v>
      </c>
      <c r="I33" s="118">
        <v>302000</v>
      </c>
      <c r="J33" s="118">
        <v>302000</v>
      </c>
      <c r="K33" s="118">
        <v>302000</v>
      </c>
      <c r="L33" s="118">
        <v>302000</v>
      </c>
      <c r="M33" s="118">
        <v>302000</v>
      </c>
      <c r="N33" s="118">
        <v>302000</v>
      </c>
      <c r="O33" s="118">
        <v>302000</v>
      </c>
      <c r="P33" s="77">
        <f>SUM(D33:O33)</f>
        <v>3624000</v>
      </c>
    </row>
    <row r="34" spans="1:18">
      <c r="A34" s="76"/>
      <c r="B34" t="s">
        <v>298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77"/>
    </row>
    <row r="35" spans="1:18">
      <c r="A35" s="76"/>
      <c r="B35" t="s">
        <v>141</v>
      </c>
      <c r="D35" s="31">
        <v>301492</v>
      </c>
      <c r="E35" s="31">
        <v>301492</v>
      </c>
      <c r="F35" s="31">
        <v>301492</v>
      </c>
      <c r="G35" s="31">
        <v>301492</v>
      </c>
      <c r="H35" s="31">
        <v>301492</v>
      </c>
      <c r="I35" s="31">
        <v>301490</v>
      </c>
      <c r="J35" s="31">
        <v>257584</v>
      </c>
      <c r="K35" s="31">
        <v>257584</v>
      </c>
      <c r="L35" s="31">
        <v>257584</v>
      </c>
      <c r="M35" s="31">
        <v>257584</v>
      </c>
      <c r="N35" s="31">
        <v>257584</v>
      </c>
      <c r="O35" s="31">
        <v>257584</v>
      </c>
      <c r="P35" s="81">
        <f>SUM(D35:O35)</f>
        <v>3354454</v>
      </c>
    </row>
    <row r="36" spans="1:18" ht="18.600000000000001" thickBot="1">
      <c r="A36" s="78"/>
      <c r="B36" s="79" t="s">
        <v>149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2"/>
    </row>
    <row r="37" spans="1:18" ht="18.600000000000001" thickBot="1"/>
    <row r="38" spans="1:18">
      <c r="A38" s="74" t="s">
        <v>556</v>
      </c>
      <c r="B38" s="74"/>
      <c r="C38" s="74"/>
      <c r="D38" s="74" t="s">
        <v>127</v>
      </c>
      <c r="E38" s="74" t="s">
        <v>128</v>
      </c>
      <c r="F38" s="74" t="s">
        <v>129</v>
      </c>
      <c r="G38" s="74" t="s">
        <v>130</v>
      </c>
      <c r="H38" s="74" t="s">
        <v>131</v>
      </c>
      <c r="I38" s="74" t="s">
        <v>132</v>
      </c>
      <c r="J38" s="74" t="s">
        <v>133</v>
      </c>
      <c r="K38" s="74" t="s">
        <v>134</v>
      </c>
      <c r="L38" s="74" t="s">
        <v>135</v>
      </c>
      <c r="M38" s="74" t="s">
        <v>136</v>
      </c>
      <c r="N38" s="74" t="s">
        <v>137</v>
      </c>
      <c r="O38" s="74" t="s">
        <v>138</v>
      </c>
      <c r="P38" s="75"/>
    </row>
    <row r="39" spans="1:18">
      <c r="A39" s="76"/>
      <c r="B39" s="65" t="s">
        <v>140</v>
      </c>
      <c r="C39" s="117"/>
      <c r="D39" s="118">
        <f>$L$16</f>
        <v>50000</v>
      </c>
      <c r="E39" s="118">
        <f t="shared" ref="E39:O39" si="1">$L$16</f>
        <v>50000</v>
      </c>
      <c r="F39" s="118">
        <f t="shared" si="1"/>
        <v>50000</v>
      </c>
      <c r="G39" s="118">
        <f t="shared" si="1"/>
        <v>50000</v>
      </c>
      <c r="H39" s="118">
        <f t="shared" si="1"/>
        <v>50000</v>
      </c>
      <c r="I39" s="118">
        <f t="shared" si="1"/>
        <v>50000</v>
      </c>
      <c r="J39" s="118">
        <f t="shared" si="1"/>
        <v>50000</v>
      </c>
      <c r="K39" s="118">
        <f t="shared" si="1"/>
        <v>50000</v>
      </c>
      <c r="L39" s="118">
        <f t="shared" si="1"/>
        <v>50000</v>
      </c>
      <c r="M39" s="118">
        <f t="shared" si="1"/>
        <v>50000</v>
      </c>
      <c r="N39" s="118">
        <f t="shared" si="1"/>
        <v>50000</v>
      </c>
      <c r="O39" s="118">
        <f t="shared" si="1"/>
        <v>50000</v>
      </c>
      <c r="P39" s="77">
        <f>SUM(D39:O39)</f>
        <v>600000</v>
      </c>
    </row>
    <row r="40" spans="1:18">
      <c r="A40" s="76"/>
      <c r="B40" t="s">
        <v>298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77"/>
    </row>
    <row r="41" spans="1:18">
      <c r="A41" s="76"/>
      <c r="B41" t="s">
        <v>141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81"/>
    </row>
    <row r="42" spans="1:18" ht="18.600000000000001" thickBot="1">
      <c r="A42" s="78"/>
      <c r="B42" s="79" t="s">
        <v>149</v>
      </c>
      <c r="C42" s="79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2"/>
    </row>
    <row r="43" spans="1:18">
      <c r="G43" s="1"/>
    </row>
    <row r="44" spans="1:18">
      <c r="G44" s="1"/>
    </row>
    <row r="46" spans="1:18">
      <c r="F46" s="412" t="s">
        <v>557</v>
      </c>
      <c r="G46" s="412"/>
      <c r="H46" s="412"/>
      <c r="I46" s="412"/>
      <c r="J46" s="412"/>
      <c r="K46" s="412"/>
      <c r="L46" s="413" t="s">
        <v>558</v>
      </c>
      <c r="M46" s="413"/>
      <c r="N46" s="413"/>
      <c r="O46" s="413"/>
      <c r="P46" s="413"/>
      <c r="Q46" s="413"/>
    </row>
    <row r="47" spans="1:18">
      <c r="F47" t="s">
        <v>127</v>
      </c>
      <c r="G47" t="s">
        <v>128</v>
      </c>
      <c r="H47" t="s">
        <v>129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135</v>
      </c>
      <c r="O47" t="s">
        <v>136</v>
      </c>
      <c r="P47" t="s">
        <v>137</v>
      </c>
      <c r="Q47" t="s">
        <v>138</v>
      </c>
    </row>
    <row r="48" spans="1:18">
      <c r="A48" t="s">
        <v>528</v>
      </c>
      <c r="B48" s="95" t="s">
        <v>559</v>
      </c>
      <c r="C48" s="101"/>
      <c r="D48" s="102">
        <v>4108250</v>
      </c>
      <c r="E48" s="96" t="s">
        <v>560</v>
      </c>
      <c r="F48" s="103">
        <v>263250</v>
      </c>
      <c r="G48" s="103">
        <v>263250</v>
      </c>
      <c r="H48" s="103">
        <v>263250</v>
      </c>
      <c r="I48" s="103">
        <v>263250</v>
      </c>
      <c r="J48" s="103">
        <v>263250</v>
      </c>
      <c r="K48" s="103">
        <v>263250</v>
      </c>
      <c r="L48" s="103">
        <v>263250</v>
      </c>
      <c r="M48" s="103">
        <v>263250</v>
      </c>
      <c r="N48" s="103">
        <v>263250</v>
      </c>
      <c r="O48" s="103">
        <v>263250</v>
      </c>
      <c r="P48" s="103">
        <v>263250</v>
      </c>
      <c r="Q48" s="104">
        <v>263250</v>
      </c>
      <c r="R48" s="105">
        <v>3159000</v>
      </c>
    </row>
    <row r="49" spans="1:18">
      <c r="A49" t="s">
        <v>141</v>
      </c>
      <c r="B49" s="95"/>
      <c r="C49" s="101"/>
      <c r="D49" s="102"/>
      <c r="E49" s="96"/>
      <c r="F49" s="103">
        <f t="shared" ref="F49:K49" si="2">(35100*70/12)</f>
        <v>204750</v>
      </c>
      <c r="G49" s="103">
        <f t="shared" si="2"/>
        <v>204750</v>
      </c>
      <c r="H49" s="103">
        <f t="shared" si="2"/>
        <v>204750</v>
      </c>
      <c r="I49" s="103">
        <f t="shared" si="2"/>
        <v>204750</v>
      </c>
      <c r="J49" s="103">
        <f t="shared" si="2"/>
        <v>204750</v>
      </c>
      <c r="K49" s="103">
        <f t="shared" si="2"/>
        <v>204750</v>
      </c>
      <c r="L49" s="103">
        <f t="shared" ref="L49:Q49" si="3">(29900*101/12)</f>
        <v>251658.33333333334</v>
      </c>
      <c r="M49" s="103">
        <f t="shared" si="3"/>
        <v>251658.33333333334</v>
      </c>
      <c r="N49" s="103">
        <f t="shared" si="3"/>
        <v>251658.33333333334</v>
      </c>
      <c r="O49" s="103">
        <f t="shared" si="3"/>
        <v>251658.33333333334</v>
      </c>
      <c r="P49" s="103">
        <f t="shared" si="3"/>
        <v>251658.33333333334</v>
      </c>
      <c r="Q49" s="103">
        <f t="shared" si="3"/>
        <v>251658.33333333334</v>
      </c>
      <c r="R49" s="105">
        <f>SUM(F49:Q49)</f>
        <v>2738450</v>
      </c>
    </row>
    <row r="50" spans="1:18">
      <c r="A50" t="s">
        <v>528</v>
      </c>
      <c r="B50" s="95"/>
      <c r="C50" s="101"/>
      <c r="D50" s="102"/>
      <c r="E50" s="96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4"/>
      <c r="R50" s="105">
        <f>R49-R48</f>
        <v>-420550</v>
      </c>
    </row>
    <row r="51" spans="1:18">
      <c r="A51" t="s">
        <v>141</v>
      </c>
      <c r="B51" s="95" t="s">
        <v>559</v>
      </c>
      <c r="C51" s="95"/>
      <c r="D51" s="95"/>
      <c r="E51" s="96" t="s">
        <v>561</v>
      </c>
      <c r="F51" s="103">
        <v>58500</v>
      </c>
      <c r="G51" s="103">
        <v>58500</v>
      </c>
      <c r="H51" s="103">
        <v>58500</v>
      </c>
      <c r="I51" s="103">
        <v>58500</v>
      </c>
      <c r="J51" s="103">
        <v>58500</v>
      </c>
      <c r="K51" s="103">
        <v>58500</v>
      </c>
      <c r="L51" s="103">
        <v>58500</v>
      </c>
      <c r="M51" s="103">
        <v>58500</v>
      </c>
      <c r="N51" s="103">
        <v>58500</v>
      </c>
      <c r="O51" s="103">
        <v>58500</v>
      </c>
      <c r="P51" s="103">
        <v>58500</v>
      </c>
      <c r="Q51" s="104">
        <v>58500</v>
      </c>
      <c r="R51" s="105">
        <v>702000</v>
      </c>
    </row>
    <row r="52" spans="1:18">
      <c r="F52" s="2">
        <f t="shared" ref="F52:K52" si="4">(35100*20/12)</f>
        <v>58500</v>
      </c>
      <c r="G52" s="2">
        <f t="shared" si="4"/>
        <v>58500</v>
      </c>
      <c r="H52" s="2">
        <f t="shared" si="4"/>
        <v>58500</v>
      </c>
      <c r="I52" s="2">
        <f t="shared" si="4"/>
        <v>58500</v>
      </c>
      <c r="J52" s="2">
        <f t="shared" si="4"/>
        <v>58500</v>
      </c>
      <c r="K52" s="2">
        <f t="shared" si="4"/>
        <v>58500</v>
      </c>
      <c r="L52" s="2">
        <f t="shared" ref="L52:Q52" si="5">(29900*20/12)</f>
        <v>49833.333333333336</v>
      </c>
      <c r="M52" s="2">
        <f t="shared" si="5"/>
        <v>49833.333333333336</v>
      </c>
      <c r="N52" s="2">
        <f t="shared" si="5"/>
        <v>49833.333333333336</v>
      </c>
      <c r="O52" s="2">
        <f t="shared" si="5"/>
        <v>49833.333333333336</v>
      </c>
      <c r="P52" s="2">
        <f t="shared" si="5"/>
        <v>49833.333333333336</v>
      </c>
      <c r="Q52" s="2">
        <f t="shared" si="5"/>
        <v>49833.333333333336</v>
      </c>
      <c r="R52" s="2">
        <f>SUM(F52:Q52)</f>
        <v>650000</v>
      </c>
    </row>
    <row r="53" spans="1:18">
      <c r="R53" s="3">
        <f>R52-R51</f>
        <v>-52000</v>
      </c>
    </row>
    <row r="54" spans="1:18">
      <c r="C54" s="10"/>
    </row>
    <row r="57" spans="1:18"/>
  </sheetData>
  <mergeCells count="2">
    <mergeCell ref="F46:K46"/>
    <mergeCell ref="L46:Q46"/>
  </mergeCells>
  <phoneticPr fontId="6"/>
  <pageMargins left="0.7" right="0.7" top="0.75" bottom="0.75" header="0.3" footer="0.3"/>
  <drawing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77FB-BC66-4B38-9476-25D0B328C69F}">
  <sheetPr codeName="Sheet9">
    <tabColor rgb="FFFFC000"/>
  </sheetPr>
  <dimension ref="A1:S73"/>
  <sheetViews>
    <sheetView topLeftCell="A3" zoomScale="85" zoomScaleNormal="85" workbookViewId="0">
      <selection activeCell="K20" sqref="K20"/>
    </sheetView>
  </sheetViews>
  <sheetFormatPr defaultRowHeight="18"/>
  <cols>
    <col min="2" max="2" width="43" bestFit="1" customWidth="1"/>
    <col min="3" max="3" width="16.375" customWidth="1"/>
    <col min="4" max="4" width="11" bestFit="1" customWidth="1"/>
    <col min="5" max="5" width="12.375" customWidth="1"/>
    <col min="6" max="6" width="10.875" bestFit="1" customWidth="1"/>
    <col min="7" max="8" width="10.375" bestFit="1" customWidth="1"/>
    <col min="9" max="9" width="12.75" customWidth="1"/>
    <col min="10" max="10" width="10.375" bestFit="1" customWidth="1"/>
    <col min="11" max="11" width="14.5" customWidth="1"/>
    <col min="12" max="13" width="10.625" bestFit="1" customWidth="1"/>
    <col min="14" max="16" width="11.75" bestFit="1" customWidth="1"/>
    <col min="17" max="17" width="10.5" bestFit="1" customWidth="1"/>
  </cols>
  <sheetData>
    <row r="1" spans="2:19">
      <c r="C1" t="s">
        <v>139</v>
      </c>
    </row>
    <row r="2" spans="2:19">
      <c r="B2" t="s">
        <v>374</v>
      </c>
      <c r="C2">
        <v>415</v>
      </c>
    </row>
    <row r="3" spans="2:19">
      <c r="B3" t="s">
        <v>375</v>
      </c>
      <c r="C3">
        <v>515</v>
      </c>
    </row>
    <row r="4" spans="2:19">
      <c r="B4" t="s">
        <v>549</v>
      </c>
      <c r="C4" s="3">
        <f>$K$9</f>
        <v>650</v>
      </c>
    </row>
    <row r="6" spans="2:19">
      <c r="D6" t="s">
        <v>153</v>
      </c>
    </row>
    <row r="7" spans="2:19">
      <c r="D7" t="s">
        <v>377</v>
      </c>
      <c r="F7" t="s">
        <v>328</v>
      </c>
      <c r="H7" t="s">
        <v>192</v>
      </c>
      <c r="N7" t="s">
        <v>329</v>
      </c>
    </row>
    <row r="8" spans="2:19">
      <c r="C8" t="s">
        <v>378</v>
      </c>
      <c r="D8" t="s">
        <v>153</v>
      </c>
      <c r="E8" t="s">
        <v>156</v>
      </c>
      <c r="F8" t="s">
        <v>153</v>
      </c>
      <c r="G8" t="s">
        <v>156</v>
      </c>
      <c r="H8" t="s">
        <v>378</v>
      </c>
      <c r="I8" t="s">
        <v>531</v>
      </c>
      <c r="J8" t="s">
        <v>344</v>
      </c>
      <c r="K8" t="s">
        <v>139</v>
      </c>
      <c r="L8" t="s">
        <v>156</v>
      </c>
      <c r="N8" t="s">
        <v>156</v>
      </c>
    </row>
    <row r="9" spans="2:19">
      <c r="B9" t="s">
        <v>562</v>
      </c>
      <c r="C9" s="2">
        <f>E9/D9</f>
        <v>23700</v>
      </c>
      <c r="D9" s="2">
        <v>415</v>
      </c>
      <c r="E9" s="2">
        <v>9835500</v>
      </c>
      <c r="F9" s="2">
        <v>515</v>
      </c>
      <c r="G9" s="2">
        <f>F9*C9</f>
        <v>12205500</v>
      </c>
      <c r="H9" s="2">
        <v>26100</v>
      </c>
      <c r="I9" s="2">
        <v>500</v>
      </c>
      <c r="J9" s="2">
        <v>150</v>
      </c>
      <c r="K9" s="3">
        <f>I9+J9</f>
        <v>650</v>
      </c>
      <c r="L9" s="2">
        <f>H9*K9</f>
        <v>16965000</v>
      </c>
      <c r="N9" s="2">
        <v>12000000</v>
      </c>
      <c r="O9" t="s">
        <v>563</v>
      </c>
    </row>
    <row r="10" spans="2:19">
      <c r="C10" s="2"/>
      <c r="D10" s="2"/>
      <c r="E10" s="2"/>
      <c r="F10" s="2"/>
      <c r="G10" s="2"/>
      <c r="N10" t="s">
        <v>126</v>
      </c>
      <c r="P10" s="25" t="s">
        <v>186</v>
      </c>
      <c r="Q10" s="25"/>
      <c r="R10" s="25"/>
      <c r="S10" s="25"/>
    </row>
    <row r="11" spans="2:19">
      <c r="B11" t="s">
        <v>564</v>
      </c>
      <c r="C11" s="2"/>
      <c r="D11" s="2"/>
      <c r="E11" s="2"/>
      <c r="F11" s="2"/>
      <c r="G11" s="2"/>
      <c r="H11" s="2">
        <v>26100</v>
      </c>
      <c r="J11">
        <v>430</v>
      </c>
      <c r="L11" s="2">
        <f>H11*J11</f>
        <v>11223000</v>
      </c>
      <c r="M11" s="3">
        <f>L9-L11</f>
        <v>5742000</v>
      </c>
      <c r="N11" s="2">
        <f>N9/12</f>
        <v>1000000</v>
      </c>
      <c r="P11" s="25"/>
      <c r="Q11" s="25"/>
      <c r="R11" s="25"/>
      <c r="S11" s="25"/>
    </row>
    <row r="12" spans="2:19">
      <c r="B12" t="s">
        <v>565</v>
      </c>
      <c r="C12" s="2"/>
      <c r="D12" s="2"/>
      <c r="E12" s="2"/>
      <c r="F12" s="2"/>
      <c r="G12" s="2"/>
      <c r="H12" s="2">
        <v>26100</v>
      </c>
      <c r="K12">
        <v>570</v>
      </c>
      <c r="L12" s="2">
        <f>K12*H12</f>
        <v>14877000</v>
      </c>
      <c r="M12" s="3">
        <f>L9-L12</f>
        <v>2088000</v>
      </c>
      <c r="N12" t="s">
        <v>298</v>
      </c>
      <c r="P12" s="25" t="s">
        <v>566</v>
      </c>
      <c r="Q12" s="25"/>
      <c r="R12" s="25"/>
      <c r="S12" s="25"/>
    </row>
    <row r="13" spans="2:19">
      <c r="B13" t="s">
        <v>156</v>
      </c>
      <c r="C13" s="2"/>
      <c r="D13" s="11"/>
      <c r="E13" s="11">
        <f>SUM(E9:E12)</f>
        <v>9835500</v>
      </c>
      <c r="G13" s="3">
        <f>SUM(G9:G12)</f>
        <v>12205500</v>
      </c>
      <c r="L13" s="2">
        <f>L9</f>
        <v>16965000</v>
      </c>
      <c r="N13">
        <v>450</v>
      </c>
      <c r="P13" s="25"/>
      <c r="Q13" s="25"/>
      <c r="R13" s="25"/>
      <c r="S13" s="25"/>
    </row>
    <row r="14" spans="2:19">
      <c r="B14" t="s">
        <v>126</v>
      </c>
      <c r="C14" s="2"/>
      <c r="D14" s="11"/>
      <c r="E14" s="11">
        <f>E13/12</f>
        <v>819625</v>
      </c>
      <c r="G14" s="3">
        <f>G13/12</f>
        <v>1017125</v>
      </c>
      <c r="L14" s="2">
        <f>L13/12</f>
        <v>1413750</v>
      </c>
      <c r="P14" s="25"/>
      <c r="Q14" s="25"/>
      <c r="R14" s="25"/>
      <c r="S14" s="25"/>
    </row>
    <row r="15" spans="2:19">
      <c r="F15" s="25" t="s">
        <v>388</v>
      </c>
      <c r="G15" s="27">
        <v>1020000</v>
      </c>
      <c r="K15" s="65" t="s">
        <v>567</v>
      </c>
      <c r="L15" s="124">
        <v>1420000</v>
      </c>
      <c r="P15" s="25"/>
      <c r="Q15" s="25"/>
      <c r="R15" s="25"/>
      <c r="S15" s="25"/>
    </row>
    <row r="16" spans="2:19">
      <c r="P16" s="25"/>
      <c r="Q16" s="25"/>
      <c r="R16" s="25"/>
      <c r="S16" s="25"/>
    </row>
    <row r="17" spans="1:16">
      <c r="G17" s="1">
        <f>G15-E14</f>
        <v>200375</v>
      </c>
    </row>
    <row r="18" spans="1:16">
      <c r="C18">
        <v>23700</v>
      </c>
      <c r="F18">
        <v>430</v>
      </c>
      <c r="G18">
        <f>C18*F18</f>
        <v>10191000</v>
      </c>
    </row>
    <row r="20" spans="1:16" ht="18.600000000000001" thickBot="1">
      <c r="A20" t="s">
        <v>124</v>
      </c>
      <c r="I20" t="s">
        <v>308</v>
      </c>
    </row>
    <row r="21" spans="1:16">
      <c r="A21" s="74" t="s">
        <v>568</v>
      </c>
      <c r="B21" s="74"/>
      <c r="C21" s="74"/>
      <c r="D21" s="74" t="s">
        <v>127</v>
      </c>
      <c r="E21" s="74" t="s">
        <v>128</v>
      </c>
      <c r="F21" s="74" t="s">
        <v>129</v>
      </c>
      <c r="G21" s="74" t="s">
        <v>130</v>
      </c>
      <c r="H21" s="74" t="s">
        <v>131</v>
      </c>
      <c r="I21" s="74" t="s">
        <v>132</v>
      </c>
      <c r="J21" s="74" t="s">
        <v>133</v>
      </c>
      <c r="K21" s="74" t="s">
        <v>134</v>
      </c>
      <c r="L21" s="74" t="s">
        <v>135</v>
      </c>
      <c r="M21" s="74" t="s">
        <v>136</v>
      </c>
      <c r="N21" s="74" t="s">
        <v>137</v>
      </c>
      <c r="O21" s="74" t="s">
        <v>138</v>
      </c>
      <c r="P21" s="75"/>
    </row>
    <row r="22" spans="1:16">
      <c r="A22" s="76"/>
      <c r="B22" s="25" t="s">
        <v>140</v>
      </c>
      <c r="C22" s="120"/>
      <c r="D22" s="311">
        <v>1000000</v>
      </c>
      <c r="E22" s="137">
        <v>1000000</v>
      </c>
      <c r="F22" s="137">
        <v>1000000</v>
      </c>
      <c r="G22" s="137">
        <v>1000000</v>
      </c>
      <c r="H22" s="137">
        <v>1000000</v>
      </c>
      <c r="I22" s="137">
        <v>1000000</v>
      </c>
      <c r="J22" s="137">
        <v>1000000</v>
      </c>
      <c r="K22" s="137">
        <v>1000000</v>
      </c>
      <c r="L22" s="137">
        <v>1000000</v>
      </c>
      <c r="M22" s="137">
        <v>1000000</v>
      </c>
      <c r="N22" s="137">
        <v>1000000</v>
      </c>
      <c r="O22" s="315">
        <v>1000000</v>
      </c>
      <c r="P22" s="316">
        <f>SUM(D22:O22)</f>
        <v>12000000</v>
      </c>
    </row>
    <row r="23" spans="1:16">
      <c r="A23" s="76"/>
      <c r="B23" t="s">
        <v>298</v>
      </c>
      <c r="D23" s="31">
        <v>450</v>
      </c>
      <c r="E23" s="31">
        <v>450</v>
      </c>
      <c r="F23" s="31">
        <v>450</v>
      </c>
      <c r="G23" s="31">
        <v>450</v>
      </c>
      <c r="H23" s="31">
        <v>450</v>
      </c>
      <c r="I23" s="31">
        <v>450</v>
      </c>
      <c r="J23" s="31">
        <v>450</v>
      </c>
      <c r="K23" s="31">
        <v>450</v>
      </c>
      <c r="L23" s="31">
        <v>450</v>
      </c>
      <c r="M23" s="31">
        <v>450</v>
      </c>
      <c r="N23" s="31">
        <v>450</v>
      </c>
      <c r="O23" s="31">
        <v>450</v>
      </c>
      <c r="P23" s="77"/>
    </row>
    <row r="24" spans="1:16">
      <c r="A24" s="76"/>
      <c r="B24" t="s">
        <v>141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81">
        <f>SUM(D24:O24)</f>
        <v>0</v>
      </c>
    </row>
    <row r="25" spans="1:16" ht="18.600000000000001" thickBot="1">
      <c r="A25" s="78"/>
      <c r="B25" s="79" t="s">
        <v>149</v>
      </c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2"/>
    </row>
    <row r="27" spans="1:16" ht="18.600000000000001" thickBot="1">
      <c r="A27" t="s">
        <v>123</v>
      </c>
    </row>
    <row r="28" spans="1:16">
      <c r="A28" s="74" t="s">
        <v>568</v>
      </c>
      <c r="B28" s="74"/>
      <c r="C28" s="74"/>
      <c r="D28" s="74" t="s">
        <v>127</v>
      </c>
      <c r="E28" s="74" t="s">
        <v>128</v>
      </c>
      <c r="F28" s="74" t="s">
        <v>129</v>
      </c>
      <c r="G28" s="74" t="s">
        <v>130</v>
      </c>
      <c r="H28" s="74" t="s">
        <v>131</v>
      </c>
      <c r="I28" s="74" t="s">
        <v>132</v>
      </c>
      <c r="J28" s="74" t="s">
        <v>133</v>
      </c>
      <c r="K28" s="74" t="s">
        <v>134</v>
      </c>
      <c r="L28" s="74" t="s">
        <v>135</v>
      </c>
      <c r="M28" s="74" t="s">
        <v>136</v>
      </c>
      <c r="N28" s="74" t="s">
        <v>137</v>
      </c>
      <c r="O28" s="74" t="s">
        <v>138</v>
      </c>
      <c r="P28" s="75"/>
    </row>
    <row r="29" spans="1:16">
      <c r="A29" s="76"/>
      <c r="B29" t="s">
        <v>140</v>
      </c>
      <c r="C29" s="111"/>
      <c r="D29" s="298">
        <v>1000000</v>
      </c>
      <c r="E29" s="265">
        <v>1000000</v>
      </c>
      <c r="F29" s="265">
        <v>1000000</v>
      </c>
      <c r="G29" s="265">
        <v>1000000</v>
      </c>
      <c r="H29" s="265">
        <v>1000000</v>
      </c>
      <c r="I29" s="265">
        <v>1000000</v>
      </c>
      <c r="J29" s="265">
        <v>1000000</v>
      </c>
      <c r="K29" s="265">
        <v>1000000</v>
      </c>
      <c r="L29" s="265">
        <v>1000000</v>
      </c>
      <c r="M29" s="265">
        <v>1000000</v>
      </c>
      <c r="N29" s="265">
        <v>1000000</v>
      </c>
      <c r="O29" s="266">
        <v>1000000</v>
      </c>
      <c r="P29" s="77">
        <f>SUM(D29:O29)</f>
        <v>12000000</v>
      </c>
    </row>
    <row r="30" spans="1:16">
      <c r="A30" s="76"/>
      <c r="B30" t="s">
        <v>298</v>
      </c>
      <c r="D30" s="31">
        <v>500</v>
      </c>
      <c r="E30" s="31">
        <v>500</v>
      </c>
      <c r="F30" s="31">
        <v>500</v>
      </c>
      <c r="G30" s="31">
        <v>500</v>
      </c>
      <c r="H30" s="31">
        <v>500</v>
      </c>
      <c r="I30" s="31">
        <v>650</v>
      </c>
      <c r="J30" s="31">
        <v>650</v>
      </c>
      <c r="K30" s="31">
        <v>650</v>
      </c>
      <c r="L30" s="31">
        <v>650</v>
      </c>
      <c r="M30" s="31">
        <v>650</v>
      </c>
      <c r="N30" s="31">
        <v>650</v>
      </c>
      <c r="O30" s="31">
        <v>650</v>
      </c>
      <c r="P30" s="77"/>
    </row>
    <row r="31" spans="1:16">
      <c r="A31" s="76"/>
      <c r="B31" t="s">
        <v>141</v>
      </c>
      <c r="D31" s="269">
        <v>1087500</v>
      </c>
      <c r="E31" s="134">
        <v>1087500</v>
      </c>
      <c r="F31" s="134">
        <v>1087500</v>
      </c>
      <c r="G31" s="134">
        <v>1087500</v>
      </c>
      <c r="H31" s="134">
        <v>1087500</v>
      </c>
      <c r="I31" s="134">
        <v>993750</v>
      </c>
      <c r="J31" s="134">
        <v>993750</v>
      </c>
      <c r="K31" s="134">
        <v>993750</v>
      </c>
      <c r="L31" s="134">
        <v>993750</v>
      </c>
      <c r="M31" s="265"/>
      <c r="N31" s="265">
        <v>1000000</v>
      </c>
      <c r="O31" s="266">
        <v>1000000</v>
      </c>
      <c r="P31" s="81">
        <f>SUM(D31:O31)</f>
        <v>11412500</v>
      </c>
    </row>
    <row r="32" spans="1:16" ht="18.600000000000001" thickBot="1">
      <c r="A32" s="78"/>
      <c r="B32" s="79" t="s">
        <v>149</v>
      </c>
      <c r="C32" s="79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2"/>
    </row>
    <row r="35" spans="1:17">
      <c r="A35" t="s">
        <v>147</v>
      </c>
      <c r="E35" s="93">
        <v>45292</v>
      </c>
      <c r="F35" s="93">
        <v>45323</v>
      </c>
      <c r="G35" s="93">
        <v>45352</v>
      </c>
      <c r="H35" s="93">
        <v>45383</v>
      </c>
      <c r="I35" s="93">
        <v>45413</v>
      </c>
      <c r="J35" s="93">
        <v>45444</v>
      </c>
      <c r="K35" s="93">
        <v>45474</v>
      </c>
      <c r="L35" s="93">
        <v>45505</v>
      </c>
      <c r="M35" s="93">
        <v>45536</v>
      </c>
      <c r="N35" s="93">
        <v>45566</v>
      </c>
      <c r="O35" s="93">
        <v>45597</v>
      </c>
      <c r="P35" s="93">
        <v>45627</v>
      </c>
      <c r="Q35" t="s">
        <v>289</v>
      </c>
    </row>
    <row r="36" spans="1:17">
      <c r="C36" t="s">
        <v>569</v>
      </c>
      <c r="E36" s="1">
        <v>820000</v>
      </c>
      <c r="F36" s="1">
        <v>820000</v>
      </c>
      <c r="G36" s="1">
        <v>820000</v>
      </c>
      <c r="H36" s="1">
        <v>1020000</v>
      </c>
      <c r="I36" s="1">
        <v>1020000</v>
      </c>
      <c r="J36" s="1">
        <v>1020000</v>
      </c>
      <c r="K36" s="1">
        <v>1020000</v>
      </c>
      <c r="L36" s="1">
        <v>1020000</v>
      </c>
      <c r="M36" s="1">
        <v>1020000</v>
      </c>
      <c r="N36" s="1">
        <v>1020000</v>
      </c>
      <c r="O36" s="1">
        <v>1020000</v>
      </c>
      <c r="P36" s="1">
        <v>1020000</v>
      </c>
      <c r="Q36" s="1">
        <f>SUM(E36:P36)</f>
        <v>11640000</v>
      </c>
    </row>
    <row r="37" spans="1:17">
      <c r="C37" s="10" t="s">
        <v>570</v>
      </c>
      <c r="E37" s="1">
        <v>819625</v>
      </c>
      <c r="F37" s="1">
        <v>819625</v>
      </c>
      <c r="G37" s="1">
        <v>819625</v>
      </c>
      <c r="H37" s="1">
        <v>819625</v>
      </c>
      <c r="I37" s="1">
        <v>819625</v>
      </c>
      <c r="J37" s="2">
        <v>1087500</v>
      </c>
      <c r="K37" s="2">
        <v>1087500</v>
      </c>
      <c r="L37" s="2">
        <v>1087500</v>
      </c>
      <c r="M37" s="2">
        <v>1087500</v>
      </c>
      <c r="N37" s="2">
        <v>1087500</v>
      </c>
      <c r="O37" s="2">
        <v>1087500</v>
      </c>
      <c r="P37" s="2">
        <v>1087500</v>
      </c>
      <c r="Q37" s="1">
        <f>SUM(E37:P37)</f>
        <v>11710625</v>
      </c>
    </row>
    <row r="38" spans="1:17">
      <c r="C38" t="s">
        <v>298</v>
      </c>
      <c r="E38">
        <v>415</v>
      </c>
      <c r="F38">
        <v>415</v>
      </c>
      <c r="G38">
        <v>415</v>
      </c>
      <c r="H38">
        <v>415</v>
      </c>
      <c r="I38">
        <v>415</v>
      </c>
      <c r="J38">
        <v>500</v>
      </c>
      <c r="K38">
        <v>500</v>
      </c>
      <c r="L38">
        <v>500</v>
      </c>
      <c r="M38">
        <v>500</v>
      </c>
      <c r="N38">
        <v>500</v>
      </c>
      <c r="O38">
        <v>500</v>
      </c>
      <c r="P38">
        <v>500</v>
      </c>
    </row>
    <row r="39" spans="1:17">
      <c r="C39" t="s">
        <v>149</v>
      </c>
      <c r="E39" s="1">
        <f t="shared" ref="E39:Q39" si="0">SUM(E$37-E$36)</f>
        <v>-375</v>
      </c>
      <c r="F39" s="1">
        <f t="shared" si="0"/>
        <v>-375</v>
      </c>
      <c r="G39" s="1">
        <f t="shared" si="0"/>
        <v>-375</v>
      </c>
      <c r="H39" s="1">
        <f t="shared" si="0"/>
        <v>-200375</v>
      </c>
      <c r="I39" s="1">
        <f t="shared" si="0"/>
        <v>-200375</v>
      </c>
      <c r="J39" s="1">
        <f t="shared" si="0"/>
        <v>67500</v>
      </c>
      <c r="K39" s="1">
        <f t="shared" si="0"/>
        <v>67500</v>
      </c>
      <c r="L39" s="1">
        <f t="shared" si="0"/>
        <v>67500</v>
      </c>
      <c r="M39" s="1">
        <f t="shared" si="0"/>
        <v>67500</v>
      </c>
      <c r="N39" s="1">
        <f t="shared" si="0"/>
        <v>67500</v>
      </c>
      <c r="O39" s="1">
        <f t="shared" si="0"/>
        <v>67500</v>
      </c>
      <c r="P39" s="1">
        <f t="shared" si="0"/>
        <v>67500</v>
      </c>
      <c r="Q39" s="91">
        <f t="shared" si="0"/>
        <v>70625</v>
      </c>
    </row>
    <row r="41" spans="1:17"/>
    <row r="43" spans="1:17">
      <c r="D43" t="s">
        <v>377</v>
      </c>
      <c r="F43" t="s">
        <v>328</v>
      </c>
      <c r="H43" t="s">
        <v>192</v>
      </c>
    </row>
    <row r="44" spans="1:17">
      <c r="C44" t="s">
        <v>378</v>
      </c>
      <c r="D44" t="s">
        <v>153</v>
      </c>
      <c r="E44" t="s">
        <v>156</v>
      </c>
      <c r="F44" t="s">
        <v>153</v>
      </c>
      <c r="G44" t="s">
        <v>156</v>
      </c>
      <c r="H44" t="s">
        <v>378</v>
      </c>
      <c r="I44" t="s">
        <v>531</v>
      </c>
      <c r="J44" t="s">
        <v>344</v>
      </c>
      <c r="K44" t="s">
        <v>139</v>
      </c>
      <c r="L44" t="s">
        <v>156</v>
      </c>
    </row>
    <row r="45" spans="1:17">
      <c r="B45" t="s">
        <v>562</v>
      </c>
      <c r="C45" s="2">
        <f>E45/D45</f>
        <v>23700</v>
      </c>
      <c r="D45" s="2">
        <v>415</v>
      </c>
      <c r="E45" s="2">
        <v>9835500</v>
      </c>
      <c r="F45" s="2">
        <v>515</v>
      </c>
      <c r="G45" s="2">
        <f>F45*C45</f>
        <v>12205500</v>
      </c>
      <c r="H45" s="2">
        <v>26100</v>
      </c>
      <c r="I45" s="2">
        <v>500</v>
      </c>
      <c r="J45" s="2">
        <v>0</v>
      </c>
      <c r="K45">
        <f>515-80</f>
        <v>435</v>
      </c>
      <c r="L45" s="2">
        <f>H45*K45</f>
        <v>11353500</v>
      </c>
    </row>
    <row r="46" spans="1:17">
      <c r="C46" s="2"/>
      <c r="D46" s="2"/>
      <c r="E46" s="2"/>
      <c r="F46" s="2"/>
      <c r="G46" s="2"/>
    </row>
    <row r="47" spans="1:17">
      <c r="B47" t="s">
        <v>564</v>
      </c>
      <c r="C47" s="2"/>
      <c r="D47" s="2"/>
      <c r="E47" s="2"/>
      <c r="F47" s="2"/>
      <c r="G47" s="2"/>
      <c r="H47" s="2">
        <v>26100</v>
      </c>
      <c r="J47">
        <v>430</v>
      </c>
      <c r="L47" s="2">
        <f>H47*J47</f>
        <v>11223000</v>
      </c>
      <c r="M47" s="3">
        <f>L45-L47</f>
        <v>130500</v>
      </c>
    </row>
    <row r="48" spans="1:17">
      <c r="B48" t="s">
        <v>565</v>
      </c>
      <c r="C48" s="2"/>
      <c r="D48" s="2"/>
      <c r="E48" s="2"/>
      <c r="F48" s="2"/>
      <c r="G48" s="2"/>
      <c r="H48" s="2">
        <v>26100</v>
      </c>
      <c r="K48">
        <v>570</v>
      </c>
      <c r="L48" s="2">
        <f>K48*H48</f>
        <v>14877000</v>
      </c>
      <c r="M48" s="3">
        <f>L45-L48</f>
        <v>-3523500</v>
      </c>
    </row>
    <row r="49" spans="2:12">
      <c r="B49" t="s">
        <v>156</v>
      </c>
      <c r="C49" s="2"/>
      <c r="D49" s="2"/>
      <c r="E49" s="2">
        <f>SUM(E45:E48)</f>
        <v>9835500</v>
      </c>
      <c r="G49" s="3">
        <f>SUM(G45:G48)</f>
        <v>12205500</v>
      </c>
      <c r="L49" s="2">
        <f>L45</f>
        <v>11353500</v>
      </c>
    </row>
    <row r="50" spans="2:12">
      <c r="B50" t="s">
        <v>126</v>
      </c>
      <c r="C50" s="2"/>
      <c r="D50" s="2"/>
      <c r="E50" s="2">
        <f>E49/12</f>
        <v>819625</v>
      </c>
      <c r="G50" s="3">
        <f>G49/12</f>
        <v>1017125</v>
      </c>
      <c r="L50" s="2">
        <f>L49/12</f>
        <v>946125</v>
      </c>
    </row>
    <row r="51" spans="2:12">
      <c r="F51" s="25" t="s">
        <v>388</v>
      </c>
      <c r="G51" s="27">
        <v>1020000</v>
      </c>
      <c r="K51" s="65" t="s">
        <v>567</v>
      </c>
      <c r="L51" s="124">
        <v>1420000</v>
      </c>
    </row>
    <row r="53" spans="2:12">
      <c r="G53" s="1">
        <f>G51-E50</f>
        <v>200375</v>
      </c>
    </row>
    <row r="54" spans="2:12">
      <c r="I54">
        <f>515-88</f>
        <v>427</v>
      </c>
    </row>
    <row r="56" spans="2:12">
      <c r="C56" t="s">
        <v>139</v>
      </c>
    </row>
    <row r="57" spans="2:12">
      <c r="B57" t="s">
        <v>374</v>
      </c>
      <c r="C57">
        <v>415</v>
      </c>
    </row>
    <row r="58" spans="2:12">
      <c r="B58" t="s">
        <v>375</v>
      </c>
      <c r="C58">
        <v>515</v>
      </c>
    </row>
    <row r="59" spans="2:12">
      <c r="B59" t="s">
        <v>549</v>
      </c>
      <c r="C59" s="3">
        <f>$K$9</f>
        <v>650</v>
      </c>
    </row>
    <row r="61" spans="2:12">
      <c r="D61" t="s">
        <v>153</v>
      </c>
    </row>
    <row r="62" spans="2:12">
      <c r="D62" t="s">
        <v>377</v>
      </c>
      <c r="F62" t="s">
        <v>328</v>
      </c>
      <c r="H62" t="s">
        <v>192</v>
      </c>
    </row>
    <row r="63" spans="2:12">
      <c r="C63" t="s">
        <v>378</v>
      </c>
      <c r="D63" t="s">
        <v>153</v>
      </c>
      <c r="E63" t="s">
        <v>156</v>
      </c>
      <c r="F63" t="s">
        <v>153</v>
      </c>
      <c r="G63" t="s">
        <v>156</v>
      </c>
      <c r="H63" t="s">
        <v>378</v>
      </c>
      <c r="I63" t="s">
        <v>531</v>
      </c>
      <c r="J63" t="s">
        <v>344</v>
      </c>
      <c r="K63" t="s">
        <v>139</v>
      </c>
      <c r="L63" t="s">
        <v>156</v>
      </c>
    </row>
    <row r="64" spans="2:12">
      <c r="B64" t="s">
        <v>562</v>
      </c>
      <c r="C64" s="2">
        <f>E64/D64</f>
        <v>23700</v>
      </c>
      <c r="D64" s="2">
        <v>415</v>
      </c>
      <c r="E64" s="2">
        <v>9835500</v>
      </c>
      <c r="F64" s="2">
        <v>515</v>
      </c>
      <c r="G64" s="2">
        <f>F64*C64</f>
        <v>12205500</v>
      </c>
      <c r="H64" s="2">
        <v>26100</v>
      </c>
      <c r="I64" s="2">
        <v>500</v>
      </c>
      <c r="J64" s="2">
        <v>150</v>
      </c>
      <c r="K64" s="3">
        <f>I64+J64</f>
        <v>650</v>
      </c>
      <c r="L64" s="2">
        <f>H64*K64</f>
        <v>16965000</v>
      </c>
    </row>
    <row r="65" spans="2:13">
      <c r="C65" s="2"/>
      <c r="D65" s="2"/>
      <c r="E65" s="2"/>
      <c r="F65" s="2"/>
      <c r="G65" s="2"/>
    </row>
    <row r="66" spans="2:13">
      <c r="B66" t="s">
        <v>564</v>
      </c>
      <c r="C66" s="2"/>
      <c r="D66" s="2"/>
      <c r="E66" s="2"/>
      <c r="F66" s="2"/>
      <c r="G66" s="2"/>
      <c r="H66" s="2">
        <v>26100</v>
      </c>
      <c r="J66">
        <v>430</v>
      </c>
      <c r="L66" s="2">
        <f>H66*J66</f>
        <v>11223000</v>
      </c>
      <c r="M66" s="3">
        <f>L64-L66</f>
        <v>5742000</v>
      </c>
    </row>
    <row r="67" spans="2:13">
      <c r="B67" t="s">
        <v>565</v>
      </c>
      <c r="C67" s="2"/>
      <c r="D67" s="2"/>
      <c r="E67" s="2"/>
      <c r="F67" s="2"/>
      <c r="G67" s="2"/>
      <c r="H67" s="2">
        <v>26100</v>
      </c>
      <c r="K67">
        <v>570</v>
      </c>
      <c r="L67" s="2">
        <f>K67*H67</f>
        <v>14877000</v>
      </c>
      <c r="M67" s="3">
        <f>L64-L67</f>
        <v>2088000</v>
      </c>
    </row>
    <row r="68" spans="2:13">
      <c r="B68" t="s">
        <v>156</v>
      </c>
      <c r="C68" s="2"/>
      <c r="D68" s="2"/>
      <c r="E68" s="2">
        <f>SUM(E64:E67)</f>
        <v>9835500</v>
      </c>
      <c r="G68" s="3">
        <f>SUM(G64:G67)</f>
        <v>12205500</v>
      </c>
      <c r="L68" s="2">
        <f>L64</f>
        <v>16965000</v>
      </c>
    </row>
    <row r="69" spans="2:13">
      <c r="B69" t="s">
        <v>126</v>
      </c>
      <c r="C69" s="2"/>
      <c r="D69" s="2"/>
      <c r="E69" s="2">
        <f>E68/12</f>
        <v>819625</v>
      </c>
      <c r="G69" s="3">
        <f>G68/12</f>
        <v>1017125</v>
      </c>
      <c r="L69" s="2">
        <f>L68/12</f>
        <v>1413750</v>
      </c>
    </row>
    <row r="70" spans="2:13">
      <c r="F70" s="25" t="s">
        <v>388</v>
      </c>
      <c r="G70" s="27">
        <v>1020000</v>
      </c>
      <c r="K70" s="65" t="s">
        <v>567</v>
      </c>
      <c r="L70" s="124">
        <v>1420000</v>
      </c>
    </row>
    <row r="72" spans="2:13">
      <c r="G72" s="1">
        <f>G70-E69</f>
        <v>200375</v>
      </c>
    </row>
    <row r="73" spans="2:13">
      <c r="C73">
        <v>23700</v>
      </c>
      <c r="F73">
        <v>430</v>
      </c>
      <c r="G73">
        <f>C73*F73</f>
        <v>10191000</v>
      </c>
    </row>
  </sheetData>
  <phoneticPr fontId="6"/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B7F0-821D-425C-B833-03717A150EC7}">
  <sheetPr codeName="Sheet8">
    <tabColor rgb="FFFFC000"/>
  </sheetPr>
  <dimension ref="A1:T97"/>
  <sheetViews>
    <sheetView topLeftCell="A7" zoomScale="85" zoomScaleNormal="85" workbookViewId="0">
      <selection activeCell="K20" sqref="K20"/>
    </sheetView>
  </sheetViews>
  <sheetFormatPr defaultRowHeight="18"/>
  <cols>
    <col min="2" max="2" width="43" bestFit="1" customWidth="1"/>
    <col min="3" max="3" width="15.125" customWidth="1"/>
    <col min="4" max="4" width="16.875" customWidth="1"/>
    <col min="5" max="5" width="16.25" customWidth="1"/>
    <col min="6" max="6" width="14.75" customWidth="1"/>
    <col min="7" max="7" width="10.375" bestFit="1" customWidth="1"/>
    <col min="8" max="8" width="12.75" customWidth="1"/>
    <col min="9" max="9" width="13.875" customWidth="1"/>
    <col min="10" max="10" width="9" customWidth="1"/>
    <col min="11" max="11" width="9.125" bestFit="1" customWidth="1"/>
    <col min="15" max="15" width="11.625" customWidth="1"/>
    <col min="16" max="16" width="10" bestFit="1" customWidth="1"/>
    <col min="20" max="20" width="9.125" bestFit="1" customWidth="1"/>
  </cols>
  <sheetData>
    <row r="1" spans="1:14">
      <c r="C1" t="s">
        <v>139</v>
      </c>
    </row>
    <row r="2" spans="1:14">
      <c r="B2" t="s">
        <v>374</v>
      </c>
      <c r="C2">
        <v>430</v>
      </c>
    </row>
    <row r="3" spans="1:14">
      <c r="B3" t="s">
        <v>375</v>
      </c>
      <c r="C3">
        <v>480</v>
      </c>
      <c r="D3" t="s">
        <v>571</v>
      </c>
      <c r="E3" t="s">
        <v>572</v>
      </c>
      <c r="F3" t="s">
        <v>573</v>
      </c>
    </row>
    <row r="4" spans="1:14">
      <c r="B4" t="s">
        <v>549</v>
      </c>
      <c r="C4">
        <f>SUM(D4:F4)</f>
        <v>650</v>
      </c>
      <c r="D4">
        <v>500</v>
      </c>
      <c r="E4">
        <v>110</v>
      </c>
      <c r="F4">
        <v>40</v>
      </c>
    </row>
    <row r="6" spans="1:14">
      <c r="C6" t="s">
        <v>246</v>
      </c>
      <c r="D6" t="s">
        <v>377</v>
      </c>
      <c r="F6" t="s">
        <v>328</v>
      </c>
      <c r="H6" t="s">
        <v>192</v>
      </c>
      <c r="J6" t="s">
        <v>329</v>
      </c>
      <c r="M6" t="s">
        <v>406</v>
      </c>
    </row>
    <row r="7" spans="1:14">
      <c r="J7" t="s">
        <v>153</v>
      </c>
      <c r="K7" t="s">
        <v>574</v>
      </c>
      <c r="L7" t="s">
        <v>426</v>
      </c>
      <c r="M7" t="s">
        <v>575</v>
      </c>
      <c r="N7" t="s">
        <v>576</v>
      </c>
    </row>
    <row r="8" spans="1:14">
      <c r="A8" t="s">
        <v>577</v>
      </c>
      <c r="C8" s="2">
        <v>600</v>
      </c>
      <c r="D8" s="2">
        <v>430</v>
      </c>
      <c r="E8" s="2">
        <f>C8*D8</f>
        <v>258000</v>
      </c>
      <c r="F8" s="2">
        <v>480</v>
      </c>
      <c r="G8" s="2">
        <f>C8*F8</f>
        <v>288000</v>
      </c>
      <c r="H8" s="2">
        <v>650</v>
      </c>
      <c r="I8" s="2">
        <f>H8*C8</f>
        <v>390000</v>
      </c>
      <c r="J8">
        <v>452</v>
      </c>
      <c r="K8" s="2">
        <f>J8*C8</f>
        <v>271200</v>
      </c>
      <c r="L8">
        <v>28</v>
      </c>
      <c r="M8" s="2">
        <v>30</v>
      </c>
      <c r="N8">
        <v>10</v>
      </c>
    </row>
    <row r="9" spans="1:14">
      <c r="C9" s="2"/>
      <c r="D9" s="2"/>
      <c r="E9" s="2"/>
      <c r="F9" s="2"/>
      <c r="G9" s="2"/>
      <c r="K9" s="2"/>
    </row>
    <row r="10" spans="1:14">
      <c r="B10" t="s">
        <v>156</v>
      </c>
      <c r="C10" s="2"/>
      <c r="D10" s="11"/>
      <c r="E10" s="11">
        <f>SUM(E8:E9)</f>
        <v>258000</v>
      </c>
      <c r="G10" s="3">
        <f>SUM(G8:G9)*12</f>
        <v>3456000</v>
      </c>
      <c r="H10" s="3"/>
      <c r="I10" s="3">
        <f>SUM(I8:I9)*12</f>
        <v>4680000</v>
      </c>
      <c r="K10" s="2">
        <f>K8*12</f>
        <v>3254400</v>
      </c>
    </row>
    <row r="11" spans="1:14">
      <c r="B11" t="s">
        <v>126</v>
      </c>
      <c r="C11" s="2"/>
      <c r="D11" s="11"/>
      <c r="E11" s="11">
        <f>E10/12</f>
        <v>21500</v>
      </c>
      <c r="G11" s="3">
        <f>G10/12</f>
        <v>288000</v>
      </c>
      <c r="I11" s="3">
        <f>I8</f>
        <v>390000</v>
      </c>
      <c r="K11" s="2">
        <f>K8</f>
        <v>271200</v>
      </c>
    </row>
    <row r="12" spans="1:14">
      <c r="F12" t="s">
        <v>388</v>
      </c>
      <c r="G12" s="1">
        <v>288000</v>
      </c>
      <c r="H12" s="25" t="s">
        <v>578</v>
      </c>
      <c r="I12" s="24">
        <f>I11</f>
        <v>390000</v>
      </c>
    </row>
    <row r="14" spans="1:14">
      <c r="A14" t="s">
        <v>579</v>
      </c>
    </row>
    <row r="15" spans="1:14">
      <c r="C15" t="s">
        <v>246</v>
      </c>
      <c r="D15" t="s">
        <v>313</v>
      </c>
    </row>
    <row r="16" spans="1:14">
      <c r="C16" s="2">
        <v>80000</v>
      </c>
      <c r="D16" s="2">
        <v>12</v>
      </c>
      <c r="E16" s="2">
        <f>C16*D16</f>
        <v>960000</v>
      </c>
    </row>
    <row r="17" spans="1:20">
      <c r="C17" s="2"/>
      <c r="D17" s="29" t="s">
        <v>528</v>
      </c>
      <c r="E17" s="29">
        <v>960000</v>
      </c>
      <c r="F17" s="25" t="s">
        <v>389</v>
      </c>
      <c r="G17" s="28">
        <v>960000</v>
      </c>
    </row>
    <row r="19" spans="1:20" ht="18.600000000000001" thickBot="1">
      <c r="A19" t="s">
        <v>124</v>
      </c>
      <c r="K19" t="s">
        <v>390</v>
      </c>
    </row>
    <row r="20" spans="1:20">
      <c r="A20" s="74" t="s">
        <v>580</v>
      </c>
      <c r="B20" s="74"/>
      <c r="C20" s="74"/>
      <c r="D20" s="74" t="s">
        <v>127</v>
      </c>
      <c r="E20" s="74" t="s">
        <v>128</v>
      </c>
      <c r="F20" s="74" t="s">
        <v>129</v>
      </c>
      <c r="G20" s="74" t="s">
        <v>130</v>
      </c>
      <c r="H20" s="74" t="s">
        <v>131</v>
      </c>
      <c r="I20" s="74" t="s">
        <v>132</v>
      </c>
      <c r="J20" s="74" t="s">
        <v>133</v>
      </c>
      <c r="K20" s="74" t="s">
        <v>134</v>
      </c>
      <c r="L20" s="74" t="s">
        <v>135</v>
      </c>
      <c r="M20" s="74" t="s">
        <v>136</v>
      </c>
      <c r="N20" s="74" t="s">
        <v>137</v>
      </c>
      <c r="O20" s="74" t="s">
        <v>138</v>
      </c>
      <c r="P20" s="75"/>
    </row>
    <row r="21" spans="1:20">
      <c r="A21" s="76"/>
      <c r="B21" s="65" t="s">
        <v>140</v>
      </c>
      <c r="C21" s="117"/>
      <c r="D21" s="118">
        <f>$K$8+D$23</f>
        <v>271200</v>
      </c>
      <c r="E21" s="118">
        <f t="shared" ref="E21:J21" si="0">$K$8+E$23</f>
        <v>271200</v>
      </c>
      <c r="F21" s="118">
        <f t="shared" si="0"/>
        <v>301200</v>
      </c>
      <c r="G21" s="118">
        <f t="shared" si="0"/>
        <v>295200</v>
      </c>
      <c r="H21" s="118">
        <f t="shared" si="0"/>
        <v>271200</v>
      </c>
      <c r="I21" s="118">
        <f t="shared" si="0"/>
        <v>271200</v>
      </c>
      <c r="J21" s="118">
        <f t="shared" si="0"/>
        <v>271200</v>
      </c>
      <c r="K21" s="118">
        <v>290000</v>
      </c>
      <c r="L21" s="118">
        <v>290000</v>
      </c>
      <c r="M21" s="118">
        <v>290000</v>
      </c>
      <c r="N21" s="118">
        <v>290000</v>
      </c>
      <c r="O21" s="118">
        <v>290000</v>
      </c>
      <c r="P21" s="77">
        <f>SUM(D21:O21)</f>
        <v>3402400</v>
      </c>
      <c r="Q21" t="s">
        <v>513</v>
      </c>
      <c r="T21" s="3">
        <f>P21-P38</f>
        <v>-218000</v>
      </c>
    </row>
    <row r="22" spans="1:20">
      <c r="A22" s="76"/>
      <c r="B22" t="s">
        <v>298</v>
      </c>
      <c r="D22" s="31">
        <v>452</v>
      </c>
      <c r="E22" s="31">
        <v>452</v>
      </c>
      <c r="F22" s="31">
        <v>462</v>
      </c>
      <c r="G22" s="31">
        <v>472</v>
      </c>
      <c r="H22" s="31">
        <v>472</v>
      </c>
      <c r="I22" s="31">
        <v>472</v>
      </c>
      <c r="J22" s="31">
        <v>472</v>
      </c>
      <c r="K22" s="31">
        <v>482</v>
      </c>
      <c r="L22" s="31">
        <v>482</v>
      </c>
      <c r="M22" s="31">
        <v>482</v>
      </c>
      <c r="N22" s="31">
        <v>482</v>
      </c>
      <c r="O22" s="31">
        <v>492</v>
      </c>
      <c r="P22" s="77"/>
      <c r="Q22" s="3" t="s">
        <v>581</v>
      </c>
      <c r="T22" s="3">
        <f>P21-P40+P41</f>
        <v>177800</v>
      </c>
    </row>
    <row r="23" spans="1:20">
      <c r="A23" s="76"/>
      <c r="B23" t="s">
        <v>582</v>
      </c>
      <c r="D23" s="31">
        <v>0</v>
      </c>
      <c r="E23" s="31"/>
      <c r="F23" s="31">
        <f>10*600*5</f>
        <v>30000</v>
      </c>
      <c r="G23" s="31">
        <f>10*600*4</f>
        <v>24000</v>
      </c>
      <c r="H23" s="31"/>
      <c r="I23" s="31"/>
      <c r="J23" s="31"/>
      <c r="K23" s="31"/>
      <c r="L23" s="31"/>
      <c r="M23" s="31"/>
      <c r="N23" s="31"/>
      <c r="O23" s="31"/>
      <c r="P23" s="77"/>
      <c r="Q23" s="3"/>
    </row>
    <row r="24" spans="1:20">
      <c r="A24" s="76"/>
      <c r="D24" s="31"/>
      <c r="E24" s="31"/>
      <c r="F24" s="31"/>
      <c r="G24" s="31"/>
      <c r="H24" s="31"/>
      <c r="I24" s="31"/>
      <c r="J24" s="31"/>
      <c r="K24" s="31">
        <f>600*482</f>
        <v>289200</v>
      </c>
      <c r="L24" s="31"/>
      <c r="M24" s="31"/>
      <c r="N24" s="31"/>
      <c r="O24" s="31"/>
      <c r="P24" s="77"/>
      <c r="Q24" s="3"/>
    </row>
    <row r="25" spans="1:20">
      <c r="A25" s="7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77"/>
      <c r="Q25" s="3"/>
    </row>
    <row r="26" spans="1:20">
      <c r="A26" s="76"/>
      <c r="B26" t="s">
        <v>583</v>
      </c>
      <c r="D26" s="307"/>
      <c r="E26" s="309"/>
      <c r="F26" s="309"/>
      <c r="G26" s="309"/>
      <c r="H26" s="309"/>
      <c r="I26" s="309"/>
      <c r="J26" s="309"/>
      <c r="K26" s="307"/>
      <c r="L26" s="307"/>
      <c r="M26" s="307"/>
      <c r="N26" s="307"/>
      <c r="O26" s="307"/>
      <c r="P26" s="81">
        <f>SUM(D26:O26)</f>
        <v>0</v>
      </c>
    </row>
    <row r="27" spans="1:20">
      <c r="A27" s="76"/>
      <c r="B27" t="s">
        <v>584</v>
      </c>
      <c r="D27" s="307"/>
      <c r="E27" s="309"/>
      <c r="F27" s="309"/>
      <c r="G27" s="309"/>
      <c r="H27" s="309"/>
      <c r="I27" s="309"/>
      <c r="J27" s="309"/>
      <c r="K27" s="307"/>
      <c r="L27" s="307"/>
      <c r="M27" s="307"/>
      <c r="N27" s="307"/>
      <c r="O27" s="307"/>
      <c r="P27" s="81">
        <f>SUM(D27:O27)</f>
        <v>0</v>
      </c>
    </row>
    <row r="28" spans="1:20" ht="18.600000000000001" thickBot="1">
      <c r="A28" s="78"/>
      <c r="B28" s="79" t="s">
        <v>149</v>
      </c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2"/>
    </row>
    <row r="29" spans="1:20" ht="18.600000000000001" thickBot="1"/>
    <row r="30" spans="1:20">
      <c r="A30" s="74" t="s">
        <v>585</v>
      </c>
      <c r="B30" s="74"/>
      <c r="C30" s="74"/>
      <c r="D30" s="74" t="s">
        <v>127</v>
      </c>
      <c r="E30" s="74" t="s">
        <v>128</v>
      </c>
      <c r="F30" s="74" t="s">
        <v>129</v>
      </c>
      <c r="G30" s="74" t="s">
        <v>130</v>
      </c>
      <c r="H30" s="74" t="s">
        <v>131</v>
      </c>
      <c r="I30" s="74" t="s">
        <v>132</v>
      </c>
      <c r="J30" s="74" t="s">
        <v>133</v>
      </c>
      <c r="K30" s="74" t="s">
        <v>134</v>
      </c>
      <c r="L30" s="74" t="s">
        <v>135</v>
      </c>
      <c r="M30" s="74" t="s">
        <v>136</v>
      </c>
      <c r="N30" s="74" t="s">
        <v>137</v>
      </c>
      <c r="O30" s="74" t="s">
        <v>138</v>
      </c>
      <c r="P30" s="75"/>
    </row>
    <row r="31" spans="1:20">
      <c r="A31" s="76"/>
      <c r="B31" s="65" t="s">
        <v>140</v>
      </c>
      <c r="C31" s="117"/>
      <c r="D31" s="118">
        <v>80000</v>
      </c>
      <c r="E31" s="118">
        <v>80000</v>
      </c>
      <c r="F31" s="118">
        <v>80000</v>
      </c>
      <c r="G31" s="118">
        <v>80000</v>
      </c>
      <c r="H31" s="118">
        <v>80000</v>
      </c>
      <c r="I31" s="118">
        <v>80000</v>
      </c>
      <c r="J31" s="118">
        <v>80000</v>
      </c>
      <c r="K31" s="118">
        <v>80000</v>
      </c>
      <c r="L31" s="118">
        <v>80000</v>
      </c>
      <c r="M31" s="118">
        <v>80000</v>
      </c>
      <c r="N31" s="118">
        <v>80000</v>
      </c>
      <c r="O31" s="118">
        <v>80000</v>
      </c>
      <c r="P31" s="77">
        <f>SUM(D31:O31)</f>
        <v>960000</v>
      </c>
      <c r="Q31" t="s">
        <v>513</v>
      </c>
    </row>
    <row r="32" spans="1:20">
      <c r="A32" s="76"/>
      <c r="B32" t="s">
        <v>298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77"/>
      <c r="Q32" s="3" t="s">
        <v>581</v>
      </c>
    </row>
    <row r="33" spans="1:16">
      <c r="A33" s="76"/>
      <c r="B33" t="s">
        <v>141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81"/>
    </row>
    <row r="34" spans="1:16" ht="18.600000000000001" thickBot="1">
      <c r="A34" s="78"/>
      <c r="B34" s="79" t="s">
        <v>149</v>
      </c>
      <c r="C34" s="79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2"/>
    </row>
    <row r="36" spans="1:16">
      <c r="A36" t="s">
        <v>123</v>
      </c>
    </row>
    <row r="37" spans="1:16">
      <c r="A37" t="s">
        <v>580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137</v>
      </c>
      <c r="O37" t="s">
        <v>138</v>
      </c>
    </row>
    <row r="38" spans="1:16">
      <c r="B38" s="65" t="s">
        <v>140</v>
      </c>
      <c r="C38" s="117"/>
      <c r="D38" s="118">
        <v>307200</v>
      </c>
      <c r="E38" s="118">
        <v>307200</v>
      </c>
      <c r="F38" s="118">
        <v>307200</v>
      </c>
      <c r="G38" s="118">
        <v>307200</v>
      </c>
      <c r="H38" s="118">
        <v>307200</v>
      </c>
      <c r="I38" s="118">
        <v>307200</v>
      </c>
      <c r="J38" s="118">
        <v>307200</v>
      </c>
      <c r="K38" s="118">
        <v>294000</v>
      </c>
      <c r="L38" s="118">
        <v>294000</v>
      </c>
      <c r="M38" s="118">
        <v>294000</v>
      </c>
      <c r="N38" s="118">
        <v>294000</v>
      </c>
      <c r="O38" s="118">
        <v>294000</v>
      </c>
      <c r="P38" s="31">
        <f>SUM(D38:O38)</f>
        <v>3620400</v>
      </c>
    </row>
    <row r="39" spans="1:16">
      <c r="B39" t="s">
        <v>298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6">
      <c r="B40" t="s">
        <v>583</v>
      </c>
      <c r="D40" s="305">
        <v>294000</v>
      </c>
      <c r="E40" s="306">
        <v>294000</v>
      </c>
      <c r="F40" s="306">
        <v>294000</v>
      </c>
      <c r="G40" s="306">
        <v>294000</v>
      </c>
      <c r="H40" s="306">
        <v>294000</v>
      </c>
      <c r="I40" s="306">
        <v>294000</v>
      </c>
      <c r="J40" s="306">
        <v>294000</v>
      </c>
      <c r="K40" s="305">
        <v>351200</v>
      </c>
      <c r="L40" s="305">
        <v>351200</v>
      </c>
      <c r="M40" s="307"/>
      <c r="N40" s="307">
        <v>294000</v>
      </c>
      <c r="O40" s="307">
        <v>294000</v>
      </c>
      <c r="P40" s="84">
        <f>SUM(D40:O40)</f>
        <v>3348400</v>
      </c>
    </row>
    <row r="41" spans="1:16">
      <c r="B41" t="s">
        <v>584</v>
      </c>
      <c r="D41" s="305">
        <v>13200</v>
      </c>
      <c r="E41" s="306">
        <v>13200</v>
      </c>
      <c r="F41" s="306">
        <v>13200</v>
      </c>
      <c r="G41" s="306">
        <v>18200</v>
      </c>
      <c r="H41" s="306">
        <v>21200</v>
      </c>
      <c r="I41" s="306">
        <v>19200</v>
      </c>
      <c r="J41" s="306">
        <v>19200</v>
      </c>
      <c r="K41" s="305">
        <v>6400</v>
      </c>
      <c r="L41" s="307"/>
      <c r="M41" s="307"/>
      <c r="N41" s="307"/>
      <c r="O41" s="307"/>
      <c r="P41" s="84">
        <f>SUM(D41:O41)</f>
        <v>123800</v>
      </c>
    </row>
    <row r="42" spans="1:16">
      <c r="B42" t="s">
        <v>149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84"/>
    </row>
    <row r="44" spans="1:16">
      <c r="A44" t="s">
        <v>585</v>
      </c>
      <c r="D44" t="s">
        <v>127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  <c r="N44" t="s">
        <v>137</v>
      </c>
      <c r="O44" t="s">
        <v>138</v>
      </c>
    </row>
    <row r="45" spans="1:16">
      <c r="B45" s="65" t="s">
        <v>140</v>
      </c>
      <c r="C45" s="117"/>
      <c r="D45" s="118">
        <v>80000</v>
      </c>
      <c r="E45" s="118">
        <v>80000</v>
      </c>
      <c r="F45" s="118">
        <v>80000</v>
      </c>
      <c r="G45" s="118">
        <v>80000</v>
      </c>
      <c r="H45" s="118">
        <v>80000</v>
      </c>
      <c r="I45" s="118">
        <v>80000</v>
      </c>
      <c r="J45" s="118">
        <v>80000</v>
      </c>
      <c r="K45" s="118">
        <v>80000</v>
      </c>
      <c r="L45" s="118">
        <v>80000</v>
      </c>
      <c r="M45" s="118">
        <v>80000</v>
      </c>
      <c r="N45" s="118">
        <v>80000</v>
      </c>
      <c r="O45" s="118">
        <v>80000</v>
      </c>
      <c r="P45" s="31">
        <f>SUM(D45:O45)</f>
        <v>960000</v>
      </c>
    </row>
    <row r="46" spans="1:16">
      <c r="B46" t="s">
        <v>298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pans="1:16">
      <c r="B47" t="s">
        <v>141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84"/>
    </row>
    <row r="48" spans="1:16">
      <c r="B48" t="s">
        <v>149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84"/>
    </row>
    <row r="52" spans="1:16">
      <c r="A52" t="s">
        <v>147</v>
      </c>
      <c r="D52" t="s">
        <v>586</v>
      </c>
    </row>
    <row r="53" spans="1:16">
      <c r="A53" t="s">
        <v>587</v>
      </c>
      <c r="D53" t="s">
        <v>127</v>
      </c>
      <c r="E53" t="s">
        <v>128</v>
      </c>
      <c r="F53" t="s">
        <v>129</v>
      </c>
      <c r="G53" t="s">
        <v>130</v>
      </c>
      <c r="H53" t="s">
        <v>131</v>
      </c>
      <c r="I53" t="s">
        <v>132</v>
      </c>
      <c r="J53" t="s">
        <v>133</v>
      </c>
      <c r="K53" t="s">
        <v>134</v>
      </c>
      <c r="L53" t="s">
        <v>135</v>
      </c>
      <c r="M53" t="s">
        <v>136</v>
      </c>
      <c r="N53" t="s">
        <v>137</v>
      </c>
      <c r="O53" t="s">
        <v>138</v>
      </c>
    </row>
    <row r="54" spans="1:16">
      <c r="B54" t="s">
        <v>140</v>
      </c>
      <c r="C54" s="111" t="s">
        <v>246</v>
      </c>
      <c r="D54" s="31">
        <v>288000</v>
      </c>
      <c r="E54" s="31">
        <v>288000</v>
      </c>
      <c r="F54" s="31">
        <v>288000</v>
      </c>
      <c r="G54" s="31">
        <v>288000</v>
      </c>
      <c r="H54" s="31">
        <v>288000</v>
      </c>
      <c r="I54" s="31">
        <v>288000</v>
      </c>
      <c r="J54" s="31">
        <v>288000</v>
      </c>
      <c r="K54" s="31">
        <v>288000</v>
      </c>
      <c r="L54" s="31">
        <v>288000</v>
      </c>
      <c r="M54" s="31">
        <v>288000</v>
      </c>
      <c r="N54" s="31">
        <v>288000</v>
      </c>
      <c r="O54" s="31">
        <v>288000</v>
      </c>
      <c r="P54" s="31">
        <f>SUM(D54:O54)</f>
        <v>3456000</v>
      </c>
    </row>
    <row r="55" spans="1:16">
      <c r="B55" t="s">
        <v>298</v>
      </c>
      <c r="C55">
        <v>600</v>
      </c>
      <c r="D55" s="31">
        <v>450</v>
      </c>
      <c r="E55" s="31">
        <v>450</v>
      </c>
      <c r="F55" s="31">
        <v>490</v>
      </c>
      <c r="G55" s="31">
        <v>490</v>
      </c>
      <c r="H55" s="31">
        <v>490</v>
      </c>
      <c r="I55" s="31">
        <v>490</v>
      </c>
      <c r="J55" s="31">
        <v>490</v>
      </c>
      <c r="K55" s="31">
        <v>490</v>
      </c>
      <c r="L55" s="31">
        <v>490</v>
      </c>
      <c r="M55" s="31">
        <v>490</v>
      </c>
      <c r="N55" s="31">
        <v>490</v>
      </c>
      <c r="O55" s="31">
        <v>490</v>
      </c>
      <c r="P55" s="31"/>
    </row>
    <row r="56" spans="1:16">
      <c r="B56" t="s">
        <v>141</v>
      </c>
      <c r="D56" s="31">
        <f>$C$55*D$55</f>
        <v>270000</v>
      </c>
      <c r="E56" s="31">
        <f t="shared" ref="E56:O56" si="1">$C$55*E$55</f>
        <v>270000</v>
      </c>
      <c r="F56" s="31">
        <f t="shared" si="1"/>
        <v>294000</v>
      </c>
      <c r="G56" s="31">
        <f t="shared" si="1"/>
        <v>294000</v>
      </c>
      <c r="H56" s="31">
        <f t="shared" si="1"/>
        <v>294000</v>
      </c>
      <c r="I56" s="31">
        <f t="shared" si="1"/>
        <v>294000</v>
      </c>
      <c r="J56" s="31">
        <f t="shared" si="1"/>
        <v>294000</v>
      </c>
      <c r="K56" s="31">
        <f t="shared" si="1"/>
        <v>294000</v>
      </c>
      <c r="L56" s="31">
        <f t="shared" si="1"/>
        <v>294000</v>
      </c>
      <c r="M56" s="31">
        <f t="shared" si="1"/>
        <v>294000</v>
      </c>
      <c r="N56" s="31">
        <f t="shared" si="1"/>
        <v>294000</v>
      </c>
      <c r="O56" s="31">
        <f t="shared" si="1"/>
        <v>294000</v>
      </c>
      <c r="P56" s="84">
        <f>SUM(D56:O56)</f>
        <v>3480000</v>
      </c>
    </row>
    <row r="57" spans="1:16">
      <c r="B57" t="s">
        <v>149</v>
      </c>
      <c r="D57" s="3">
        <f>D$56-D$54</f>
        <v>-18000</v>
      </c>
      <c r="E57" s="3">
        <f t="shared" ref="E57:P57" si="2">E$56-E$54</f>
        <v>-18000</v>
      </c>
      <c r="F57" s="3">
        <f t="shared" si="2"/>
        <v>6000</v>
      </c>
      <c r="G57" s="3">
        <f t="shared" si="2"/>
        <v>6000</v>
      </c>
      <c r="H57" s="3">
        <f t="shared" si="2"/>
        <v>6000</v>
      </c>
      <c r="I57" s="3">
        <f t="shared" si="2"/>
        <v>6000</v>
      </c>
      <c r="J57" s="3">
        <f t="shared" si="2"/>
        <v>6000</v>
      </c>
      <c r="K57" s="3">
        <f t="shared" si="2"/>
        <v>6000</v>
      </c>
      <c r="L57" s="3">
        <f t="shared" si="2"/>
        <v>6000</v>
      </c>
      <c r="M57" s="3">
        <f t="shared" si="2"/>
        <v>6000</v>
      </c>
      <c r="N57" s="3">
        <f t="shared" si="2"/>
        <v>6000</v>
      </c>
      <c r="O57" s="3">
        <f t="shared" si="2"/>
        <v>6000</v>
      </c>
      <c r="P57" s="84">
        <f t="shared" si="2"/>
        <v>24000</v>
      </c>
    </row>
    <row r="58" spans="1:16"/>
    <row r="59" spans="1:16">
      <c r="B59" t="s">
        <v>588</v>
      </c>
      <c r="D59" t="s">
        <v>589</v>
      </c>
    </row>
    <row r="60" spans="1:16">
      <c r="D60" t="s">
        <v>127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137</v>
      </c>
      <c r="O60" t="s">
        <v>138</v>
      </c>
    </row>
    <row r="61" spans="1:16">
      <c r="B61" t="s">
        <v>140</v>
      </c>
      <c r="C61" s="111" t="s">
        <v>246</v>
      </c>
      <c r="D61" s="1">
        <v>80000</v>
      </c>
      <c r="E61" s="1">
        <v>80000</v>
      </c>
      <c r="F61" s="1">
        <v>80000</v>
      </c>
      <c r="G61" s="1">
        <v>80000</v>
      </c>
      <c r="H61" s="1">
        <v>80000</v>
      </c>
      <c r="I61" s="1">
        <v>80000</v>
      </c>
      <c r="J61" s="1">
        <v>80000</v>
      </c>
      <c r="K61" s="1">
        <v>80000</v>
      </c>
      <c r="L61" s="1">
        <v>80000</v>
      </c>
      <c r="M61" s="1">
        <v>80000</v>
      </c>
      <c r="N61" s="1">
        <v>80000</v>
      </c>
      <c r="O61" s="1">
        <v>80000</v>
      </c>
      <c r="P61" s="31">
        <f>SUM(D61:O61)</f>
        <v>960000</v>
      </c>
    </row>
    <row r="62" spans="1:16">
      <c r="B62" t="s">
        <v>141</v>
      </c>
      <c r="C62" s="1">
        <v>80000</v>
      </c>
      <c r="D62" s="1">
        <v>80000</v>
      </c>
      <c r="E62" s="1">
        <v>80000</v>
      </c>
      <c r="F62" s="1">
        <v>80000</v>
      </c>
      <c r="G62" s="1">
        <v>80000</v>
      </c>
      <c r="H62" s="1">
        <v>80000</v>
      </c>
      <c r="I62" s="1">
        <v>80000</v>
      </c>
      <c r="J62" s="1">
        <v>80000</v>
      </c>
      <c r="K62" s="1">
        <v>80000</v>
      </c>
      <c r="L62" s="1">
        <v>80000</v>
      </c>
      <c r="M62" s="1">
        <v>80000</v>
      </c>
      <c r="N62" s="1">
        <v>80000</v>
      </c>
      <c r="O62" s="1">
        <v>80000</v>
      </c>
      <c r="P62" s="1">
        <f>SUM(D62:O62)</f>
        <v>960000</v>
      </c>
    </row>
    <row r="63" spans="1:16">
      <c r="B63" t="s">
        <v>149</v>
      </c>
      <c r="P63" s="1">
        <f>P62-P61</f>
        <v>0</v>
      </c>
    </row>
    <row r="66" spans="1:10">
      <c r="C66" t="s">
        <v>139</v>
      </c>
    </row>
    <row r="67" spans="1:10">
      <c r="B67" t="s">
        <v>374</v>
      </c>
      <c r="C67">
        <v>430</v>
      </c>
    </row>
    <row r="68" spans="1:10">
      <c r="B68" t="s">
        <v>375</v>
      </c>
      <c r="C68">
        <v>480</v>
      </c>
      <c r="D68" t="s">
        <v>571</v>
      </c>
      <c r="E68" t="s">
        <v>572</v>
      </c>
      <c r="F68" t="s">
        <v>573</v>
      </c>
    </row>
    <row r="69" spans="1:10">
      <c r="B69" t="s">
        <v>549</v>
      </c>
      <c r="C69">
        <f>SUM(D69:F69)</f>
        <v>650</v>
      </c>
      <c r="D69">
        <v>500</v>
      </c>
      <c r="E69">
        <v>110</v>
      </c>
      <c r="F69">
        <v>40</v>
      </c>
    </row>
    <row r="71" spans="1:10">
      <c r="C71" t="s">
        <v>246</v>
      </c>
      <c r="D71" t="s">
        <v>377</v>
      </c>
      <c r="F71" t="s">
        <v>328</v>
      </c>
      <c r="H71" t="s">
        <v>192</v>
      </c>
    </row>
    <row r="72" spans="1:10">
      <c r="A72" t="s">
        <v>577</v>
      </c>
      <c r="C72" s="2">
        <v>600</v>
      </c>
      <c r="D72" s="2">
        <v>430</v>
      </c>
      <c r="E72" s="2">
        <f>C72*D72</f>
        <v>258000</v>
      </c>
      <c r="F72" s="2">
        <v>480</v>
      </c>
      <c r="G72" s="2">
        <f>C72*F72</f>
        <v>288000</v>
      </c>
      <c r="H72" s="2">
        <v>480</v>
      </c>
      <c r="I72" s="2">
        <f>H72*C72</f>
        <v>288000</v>
      </c>
    </row>
    <row r="73" spans="1:10">
      <c r="C73" s="2"/>
      <c r="D73" s="2"/>
      <c r="E73" s="2"/>
      <c r="F73" s="2"/>
      <c r="G73" s="2"/>
    </row>
    <row r="74" spans="1:10">
      <c r="B74" t="s">
        <v>156</v>
      </c>
      <c r="C74" s="2"/>
      <c r="D74" s="2"/>
      <c r="E74" s="2">
        <f>SUM(E72:E73)</f>
        <v>258000</v>
      </c>
      <c r="G74" s="3">
        <f>SUM(G72:G73)*12</f>
        <v>3456000</v>
      </c>
      <c r="H74" s="3"/>
      <c r="I74" s="3">
        <f>SUM(I72:I73)*12</f>
        <v>3456000</v>
      </c>
      <c r="J74" s="2"/>
    </row>
    <row r="75" spans="1:10">
      <c r="B75" t="s">
        <v>126</v>
      </c>
      <c r="C75" s="2"/>
      <c r="D75" s="2"/>
      <c r="E75" s="2">
        <f>E74/12</f>
        <v>21500</v>
      </c>
      <c r="G75" s="3">
        <f>G74/12</f>
        <v>288000</v>
      </c>
      <c r="I75" s="3">
        <f>I72</f>
        <v>288000</v>
      </c>
    </row>
    <row r="76" spans="1:10">
      <c r="F76" t="s">
        <v>388</v>
      </c>
      <c r="G76" s="1">
        <v>288000</v>
      </c>
      <c r="H76" s="25" t="s">
        <v>578</v>
      </c>
      <c r="I76" s="24">
        <f>I75</f>
        <v>288000</v>
      </c>
      <c r="J76">
        <f>I76*12</f>
        <v>3456000</v>
      </c>
    </row>
    <row r="77" spans="1:10">
      <c r="J77" s="202">
        <f>J76*G81</f>
        <v>3317760000000</v>
      </c>
    </row>
    <row r="78" spans="1:10">
      <c r="A78" t="s">
        <v>579</v>
      </c>
    </row>
    <row r="79" spans="1:10">
      <c r="C79" t="s">
        <v>246</v>
      </c>
      <c r="D79" t="s">
        <v>313</v>
      </c>
    </row>
    <row r="80" spans="1:10">
      <c r="C80" s="2">
        <v>80000</v>
      </c>
      <c r="D80" s="2">
        <v>12</v>
      </c>
      <c r="E80" s="2">
        <f>C80*D80</f>
        <v>960000</v>
      </c>
    </row>
    <row r="81" spans="1:16">
      <c r="C81" s="2"/>
      <c r="D81" s="201" t="s">
        <v>528</v>
      </c>
      <c r="E81" s="201">
        <v>960000</v>
      </c>
      <c r="F81" s="25" t="s">
        <v>389</v>
      </c>
      <c r="G81" s="28">
        <v>960000</v>
      </c>
      <c r="I81" s="3">
        <f>I74+G81</f>
        <v>4416000</v>
      </c>
    </row>
    <row r="85" spans="1:16">
      <c r="A85" s="74" t="s">
        <v>587</v>
      </c>
      <c r="B85" s="74"/>
      <c r="C85" s="74"/>
      <c r="D85" s="74" t="s">
        <v>127</v>
      </c>
      <c r="E85" s="74" t="s">
        <v>128</v>
      </c>
      <c r="F85" s="74" t="s">
        <v>129</v>
      </c>
      <c r="G85" s="74" t="s">
        <v>130</v>
      </c>
      <c r="H85" s="74" t="s">
        <v>131</v>
      </c>
      <c r="I85" s="74" t="s">
        <v>132</v>
      </c>
      <c r="J85" s="74" t="s">
        <v>133</v>
      </c>
      <c r="K85" s="74" t="s">
        <v>134</v>
      </c>
      <c r="L85" s="74" t="s">
        <v>135</v>
      </c>
      <c r="M85" s="74" t="s">
        <v>136</v>
      </c>
      <c r="N85" s="74" t="s">
        <v>137</v>
      </c>
      <c r="O85" s="74" t="s">
        <v>138</v>
      </c>
      <c r="P85" s="75"/>
    </row>
    <row r="86" spans="1:16">
      <c r="A86" s="76"/>
      <c r="B86" t="s">
        <v>140</v>
      </c>
      <c r="C86" s="111" t="s">
        <v>246</v>
      </c>
      <c r="D86" s="31">
        <f>D87*600</f>
        <v>307200</v>
      </c>
      <c r="E86" s="31">
        <f t="shared" ref="E86:O86" si="3">E87*600</f>
        <v>307200</v>
      </c>
      <c r="F86" s="31">
        <f t="shared" si="3"/>
        <v>307200</v>
      </c>
      <c r="G86" s="31">
        <f t="shared" si="3"/>
        <v>307200</v>
      </c>
      <c r="H86" s="31">
        <f t="shared" si="3"/>
        <v>307200</v>
      </c>
      <c r="I86" s="31">
        <f t="shared" si="3"/>
        <v>307200</v>
      </c>
      <c r="J86" s="31">
        <f t="shared" si="3"/>
        <v>307200</v>
      </c>
      <c r="K86" s="31">
        <f t="shared" si="3"/>
        <v>294000</v>
      </c>
      <c r="L86" s="31">
        <f t="shared" si="3"/>
        <v>294000</v>
      </c>
      <c r="M86" s="31">
        <f t="shared" si="3"/>
        <v>294000</v>
      </c>
      <c r="N86" s="31">
        <f t="shared" si="3"/>
        <v>294000</v>
      </c>
      <c r="O86" s="31">
        <f t="shared" si="3"/>
        <v>294000</v>
      </c>
      <c r="P86" s="236">
        <f>SUM(D86:O86)</f>
        <v>3620400</v>
      </c>
    </row>
    <row r="87" spans="1:16">
      <c r="A87" s="76"/>
      <c r="B87" t="s">
        <v>298</v>
      </c>
      <c r="C87">
        <v>600</v>
      </c>
      <c r="D87" s="31">
        <v>512</v>
      </c>
      <c r="E87" s="31">
        <v>512</v>
      </c>
      <c r="F87" s="31">
        <v>512</v>
      </c>
      <c r="G87" s="31">
        <v>512</v>
      </c>
      <c r="H87" s="31">
        <v>512</v>
      </c>
      <c r="I87" s="31">
        <v>512</v>
      </c>
      <c r="J87" s="31">
        <v>512</v>
      </c>
      <c r="K87" s="31">
        <v>490</v>
      </c>
      <c r="L87" s="31">
        <v>490</v>
      </c>
      <c r="M87" s="31">
        <v>490</v>
      </c>
      <c r="N87" s="31">
        <v>490</v>
      </c>
      <c r="O87" s="31">
        <v>490</v>
      </c>
      <c r="P87" s="77"/>
    </row>
    <row r="88" spans="1:16">
      <c r="A88" s="76"/>
      <c r="D88" s="31">
        <f>D89*600</f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81"/>
    </row>
    <row r="89" spans="1:16">
      <c r="A89" s="78"/>
      <c r="B89" s="79"/>
      <c r="C89" s="79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2"/>
    </row>
    <row r="91" spans="1:16">
      <c r="P91" s="1">
        <v>3456000</v>
      </c>
    </row>
    <row r="92" spans="1:16">
      <c r="C92" t="s">
        <v>590</v>
      </c>
      <c r="P92" s="3">
        <f>P86-P91</f>
        <v>164400</v>
      </c>
    </row>
    <row r="93" spans="1:16">
      <c r="C93" s="74"/>
      <c r="D93" s="74" t="s">
        <v>127</v>
      </c>
      <c r="E93" s="74" t="s">
        <v>128</v>
      </c>
      <c r="F93" s="74" t="s">
        <v>129</v>
      </c>
      <c r="G93" s="74" t="s">
        <v>130</v>
      </c>
      <c r="H93" s="74" t="s">
        <v>131</v>
      </c>
      <c r="I93" s="74" t="s">
        <v>132</v>
      </c>
      <c r="J93" s="74" t="s">
        <v>133</v>
      </c>
      <c r="K93" s="74" t="s">
        <v>134</v>
      </c>
      <c r="L93" s="74" t="s">
        <v>135</v>
      </c>
      <c r="M93" s="74" t="s">
        <v>136</v>
      </c>
      <c r="N93" s="74" t="s">
        <v>137</v>
      </c>
      <c r="O93" s="74" t="s">
        <v>138</v>
      </c>
      <c r="P93" s="75"/>
    </row>
    <row r="94" spans="1:16">
      <c r="C94" s="111" t="s">
        <v>246</v>
      </c>
      <c r="D94" s="31">
        <f>D95*600</f>
        <v>300600</v>
      </c>
      <c r="E94" s="31">
        <f t="shared" ref="E94:O94" si="4">E95*600</f>
        <v>300600</v>
      </c>
      <c r="F94" s="31">
        <f t="shared" si="4"/>
        <v>303600</v>
      </c>
      <c r="G94" s="31">
        <f t="shared" si="4"/>
        <v>315600</v>
      </c>
      <c r="H94" s="31">
        <f t="shared" si="4"/>
        <v>315600</v>
      </c>
      <c r="I94" s="31">
        <f t="shared" si="4"/>
        <v>315600</v>
      </c>
      <c r="J94" s="31">
        <f t="shared" si="4"/>
        <v>315600</v>
      </c>
      <c r="K94" s="31">
        <f t="shared" si="4"/>
        <v>294000</v>
      </c>
      <c r="L94" s="31">
        <f t="shared" si="4"/>
        <v>294000</v>
      </c>
      <c r="M94" s="31">
        <f t="shared" si="4"/>
        <v>294000</v>
      </c>
      <c r="N94" s="31">
        <f t="shared" si="4"/>
        <v>294000</v>
      </c>
      <c r="O94" s="31">
        <f t="shared" si="4"/>
        <v>294000</v>
      </c>
      <c r="P94" s="236">
        <f>SUM(D94:O94)</f>
        <v>3637200</v>
      </c>
    </row>
    <row r="95" spans="1:16">
      <c r="C95">
        <v>600</v>
      </c>
      <c r="D95" s="31">
        <v>501</v>
      </c>
      <c r="E95" s="31">
        <v>501</v>
      </c>
      <c r="F95" s="31">
        <v>506</v>
      </c>
      <c r="G95" s="31">
        <v>526</v>
      </c>
      <c r="H95" s="31">
        <v>526</v>
      </c>
      <c r="I95" s="31">
        <v>526</v>
      </c>
      <c r="J95" s="31">
        <v>526</v>
      </c>
      <c r="K95" s="31">
        <v>490</v>
      </c>
      <c r="L95" s="31">
        <v>490</v>
      </c>
      <c r="M95" s="31">
        <v>490</v>
      </c>
      <c r="N95" s="31">
        <v>490</v>
      </c>
      <c r="O95" s="31">
        <v>490</v>
      </c>
      <c r="P95" s="77"/>
    </row>
    <row r="96" spans="1:16"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81"/>
    </row>
    <row r="97" spans="3:16">
      <c r="C97" s="79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2"/>
    </row>
  </sheetData>
  <phoneticPr fontId="6"/>
  <pageMargins left="0.7" right="0.7" top="0.75" bottom="0.75" header="0.3" footer="0.3"/>
  <drawing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7446-38A1-4A0D-860A-847A5716A0B7}">
  <sheetPr codeName="Sheet7">
    <tabColor rgb="FFFFC000"/>
  </sheetPr>
  <dimension ref="A2:T51"/>
  <sheetViews>
    <sheetView zoomScale="85" zoomScaleNormal="85" workbookViewId="0">
      <selection activeCell="K20" sqref="K20"/>
    </sheetView>
  </sheetViews>
  <sheetFormatPr defaultRowHeight="18"/>
  <cols>
    <col min="1" max="1" width="12.75" customWidth="1"/>
    <col min="2" max="2" width="32.625" customWidth="1"/>
    <col min="3" max="3" width="15.125" customWidth="1"/>
    <col min="4" max="4" width="17.25" bestFit="1" customWidth="1"/>
    <col min="5" max="5" width="13.125" customWidth="1"/>
    <col min="6" max="6" width="10.875" bestFit="1" customWidth="1"/>
    <col min="7" max="7" width="10.375" bestFit="1" customWidth="1"/>
    <col min="8" max="8" width="12.75" bestFit="1" customWidth="1"/>
    <col min="9" max="9" width="9.875" bestFit="1" customWidth="1"/>
    <col min="10" max="10" width="13.75" customWidth="1"/>
    <col min="11" max="11" width="12.625" customWidth="1"/>
    <col min="16" max="16" width="9.375" bestFit="1" customWidth="1"/>
  </cols>
  <sheetData>
    <row r="2" spans="2:12">
      <c r="B2" t="s">
        <v>374</v>
      </c>
      <c r="C2">
        <v>350</v>
      </c>
    </row>
    <row r="3" spans="2:12">
      <c r="B3" t="s">
        <v>375</v>
      </c>
      <c r="C3">
        <v>400</v>
      </c>
      <c r="D3" t="s">
        <v>571</v>
      </c>
      <c r="E3" t="s">
        <v>572</v>
      </c>
      <c r="F3" t="s">
        <v>573</v>
      </c>
    </row>
    <row r="4" spans="2:12">
      <c r="B4" t="s">
        <v>549</v>
      </c>
      <c r="C4">
        <f>SUM(D4:F4)</f>
        <v>550</v>
      </c>
      <c r="D4">
        <v>400</v>
      </c>
      <c r="E4">
        <v>110</v>
      </c>
      <c r="F4">
        <v>40</v>
      </c>
    </row>
    <row r="5" spans="2:12">
      <c r="B5" t="s">
        <v>550</v>
      </c>
      <c r="C5">
        <f>SUM(D5+E5)</f>
        <v>440</v>
      </c>
      <c r="D5">
        <v>400</v>
      </c>
      <c r="E5">
        <v>40</v>
      </c>
    </row>
    <row r="8" spans="2:12">
      <c r="D8" t="s">
        <v>153</v>
      </c>
    </row>
    <row r="9" spans="2:12">
      <c r="C9" t="s">
        <v>397</v>
      </c>
      <c r="D9" t="s">
        <v>377</v>
      </c>
      <c r="F9" t="s">
        <v>328</v>
      </c>
      <c r="H9" t="s">
        <v>192</v>
      </c>
      <c r="J9" t="s">
        <v>329</v>
      </c>
    </row>
    <row r="10" spans="2:12">
      <c r="B10" t="s">
        <v>591</v>
      </c>
      <c r="C10" s="2">
        <v>1440</v>
      </c>
      <c r="D10" s="2">
        <v>350</v>
      </c>
      <c r="E10" s="2">
        <f>C10*D10</f>
        <v>504000</v>
      </c>
      <c r="F10" s="2">
        <v>400</v>
      </c>
      <c r="G10" s="2">
        <f>C10*F10</f>
        <v>576000</v>
      </c>
      <c r="H10" s="2">
        <v>550</v>
      </c>
      <c r="I10" s="2">
        <f>C10*H10</f>
        <v>792000</v>
      </c>
      <c r="J10" s="2">
        <v>420</v>
      </c>
      <c r="K10" s="2">
        <f>J10*C10</f>
        <v>604800</v>
      </c>
    </row>
    <row r="11" spans="2:12">
      <c r="B11" s="43"/>
      <c r="C11" s="2"/>
      <c r="D11" s="2"/>
      <c r="E11" s="2"/>
      <c r="F11" s="2"/>
      <c r="G11" s="2"/>
    </row>
    <row r="12" spans="2:12">
      <c r="B12" s="111" t="s">
        <v>156</v>
      </c>
      <c r="C12" s="2"/>
      <c r="D12" s="11"/>
      <c r="E12" s="11">
        <f>SUM(E10:E11)</f>
        <v>504000</v>
      </c>
      <c r="G12" s="3">
        <f>SUM(G10:G11)</f>
        <v>576000</v>
      </c>
      <c r="I12" s="2">
        <v>800000</v>
      </c>
      <c r="K12" s="2">
        <f>K10</f>
        <v>604800</v>
      </c>
    </row>
    <row r="13" spans="2:12">
      <c r="B13" s="111" t="s">
        <v>126</v>
      </c>
      <c r="C13" s="2"/>
      <c r="D13" s="11"/>
      <c r="E13" s="11">
        <f>E12/12</f>
        <v>42000</v>
      </c>
      <c r="G13" s="3">
        <f>G12/12</f>
        <v>48000</v>
      </c>
      <c r="I13" s="2">
        <f>I12/12</f>
        <v>66666.666666666672</v>
      </c>
      <c r="K13" s="2">
        <f>K12/12</f>
        <v>50400</v>
      </c>
    </row>
    <row r="14" spans="2:12">
      <c r="F14" t="s">
        <v>388</v>
      </c>
      <c r="G14" s="1">
        <v>48000</v>
      </c>
      <c r="H14" t="s">
        <v>389</v>
      </c>
      <c r="I14" s="11">
        <v>67000</v>
      </c>
      <c r="J14" s="25" t="s">
        <v>420</v>
      </c>
      <c r="K14" s="26">
        <v>50500</v>
      </c>
    </row>
    <row r="16" spans="2:12">
      <c r="L16" t="s">
        <v>592</v>
      </c>
    </row>
    <row r="17" spans="1:20">
      <c r="A17" t="s">
        <v>124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</row>
    <row r="18" spans="1:20">
      <c r="A18" t="s">
        <v>593</v>
      </c>
      <c r="B18" s="25" t="s">
        <v>140</v>
      </c>
      <c r="C18" s="25"/>
      <c r="D18" s="26">
        <v>48000</v>
      </c>
      <c r="E18" s="26">
        <v>48000</v>
      </c>
      <c r="F18" s="26">
        <v>48000</v>
      </c>
      <c r="G18" s="26">
        <v>48000</v>
      </c>
      <c r="H18" s="26">
        <v>48000</v>
      </c>
      <c r="I18" s="26">
        <v>48000</v>
      </c>
      <c r="J18" s="26">
        <v>48000</v>
      </c>
      <c r="K18" s="26">
        <v>48000</v>
      </c>
      <c r="L18" s="26">
        <v>50500</v>
      </c>
      <c r="M18" s="26">
        <v>50500</v>
      </c>
      <c r="N18" s="26">
        <v>50500</v>
      </c>
      <c r="O18" s="26">
        <v>50500</v>
      </c>
      <c r="P18" s="26">
        <f>SUM(D18:O18)</f>
        <v>586000</v>
      </c>
      <c r="Q18" t="s">
        <v>409</v>
      </c>
      <c r="T18" s="3">
        <f>P18-P24</f>
        <v>-14000</v>
      </c>
    </row>
    <row r="19" spans="1:20">
      <c r="B19" t="s">
        <v>141</v>
      </c>
      <c r="C19">
        <v>550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>
        <f>SUM(D19:O19)</f>
        <v>0</v>
      </c>
      <c r="Q19" t="s">
        <v>410</v>
      </c>
      <c r="T19" s="3">
        <f>P18-P25</f>
        <v>6000</v>
      </c>
    </row>
    <row r="20" spans="1:20">
      <c r="B20" t="s">
        <v>149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20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3" spans="1:20">
      <c r="A23" t="s">
        <v>123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137</v>
      </c>
      <c r="O23" t="s">
        <v>138</v>
      </c>
    </row>
    <row r="24" spans="1:20">
      <c r="A24" t="s">
        <v>593</v>
      </c>
      <c r="B24" t="s">
        <v>140</v>
      </c>
      <c r="D24" s="298">
        <v>50000</v>
      </c>
      <c r="E24" s="265">
        <v>50000</v>
      </c>
      <c r="F24" s="265">
        <v>50000</v>
      </c>
      <c r="G24" s="265">
        <v>50000</v>
      </c>
      <c r="H24" s="265">
        <v>50000</v>
      </c>
      <c r="I24" s="265">
        <v>50000</v>
      </c>
      <c r="J24" s="265">
        <v>50000</v>
      </c>
      <c r="K24" s="265">
        <v>50000</v>
      </c>
      <c r="L24" s="265">
        <v>50000</v>
      </c>
      <c r="M24" s="265">
        <v>50000</v>
      </c>
      <c r="N24" s="265">
        <v>50000</v>
      </c>
      <c r="O24" s="266">
        <v>50000</v>
      </c>
      <c r="P24" s="11">
        <f>SUM(D24:O24)</f>
        <v>600000</v>
      </c>
    </row>
    <row r="25" spans="1:20">
      <c r="B25" t="s">
        <v>141</v>
      </c>
      <c r="C25">
        <v>550</v>
      </c>
      <c r="D25" s="2">
        <v>48000</v>
      </c>
      <c r="E25" s="2">
        <v>48000</v>
      </c>
      <c r="F25" s="2">
        <v>48000</v>
      </c>
      <c r="G25" s="2">
        <v>48000</v>
      </c>
      <c r="H25" s="2">
        <v>48000</v>
      </c>
      <c r="I25" s="2">
        <v>48000</v>
      </c>
      <c r="J25" s="2">
        <v>48000</v>
      </c>
      <c r="K25" s="2">
        <v>48000</v>
      </c>
      <c r="L25" s="2">
        <v>48000</v>
      </c>
      <c r="M25" s="2">
        <v>48000</v>
      </c>
      <c r="N25" s="2">
        <v>50000</v>
      </c>
      <c r="O25" s="2">
        <v>50000</v>
      </c>
      <c r="P25" s="3">
        <f>SUM(D25:O25)</f>
        <v>580000</v>
      </c>
    </row>
    <row r="26" spans="1:20">
      <c r="B26" t="s">
        <v>149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0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20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0">
      <c r="A29" t="s">
        <v>147</v>
      </c>
      <c r="D29" t="s">
        <v>127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137</v>
      </c>
      <c r="O29" t="s">
        <v>138</v>
      </c>
    </row>
    <row r="30" spans="1:20">
      <c r="B30" t="s">
        <v>140</v>
      </c>
      <c r="D30" s="2">
        <v>48000</v>
      </c>
      <c r="E30" s="2">
        <v>48000</v>
      </c>
      <c r="F30" s="2">
        <v>48000</v>
      </c>
      <c r="G30" s="2">
        <v>48000</v>
      </c>
      <c r="H30" s="2">
        <v>48000</v>
      </c>
      <c r="I30" s="2">
        <v>48000</v>
      </c>
      <c r="J30" s="2">
        <v>48000</v>
      </c>
      <c r="K30" s="2">
        <v>48000</v>
      </c>
      <c r="L30" s="2">
        <v>48000</v>
      </c>
      <c r="M30" s="2">
        <v>48000</v>
      </c>
      <c r="N30" s="2">
        <v>48000</v>
      </c>
      <c r="O30" s="2">
        <v>48000</v>
      </c>
      <c r="P30" s="2">
        <f>SUM(D30:O30)</f>
        <v>576000</v>
      </c>
    </row>
    <row r="31" spans="1:20">
      <c r="B31" t="s">
        <v>141</v>
      </c>
      <c r="C31">
        <v>350</v>
      </c>
      <c r="D31" s="2">
        <f>$E$10/12</f>
        <v>42000</v>
      </c>
      <c r="E31" s="2">
        <f t="shared" ref="E31:J31" si="0">$E$10/12</f>
        <v>42000</v>
      </c>
      <c r="F31" s="2">
        <f t="shared" si="0"/>
        <v>42000</v>
      </c>
      <c r="G31" s="2">
        <f t="shared" si="0"/>
        <v>42000</v>
      </c>
      <c r="H31" s="2">
        <f t="shared" si="0"/>
        <v>42000</v>
      </c>
      <c r="I31" s="2">
        <f t="shared" si="0"/>
        <v>42000</v>
      </c>
      <c r="J31" s="2">
        <f t="shared" si="0"/>
        <v>42000</v>
      </c>
      <c r="K31" s="2">
        <f>$E$10/12</f>
        <v>42000</v>
      </c>
      <c r="L31" s="2">
        <f>$G$10/12</f>
        <v>48000</v>
      </c>
      <c r="M31" s="2">
        <f t="shared" ref="M31:O31" si="1">$G$10/12</f>
        <v>48000</v>
      </c>
      <c r="N31" s="2">
        <f t="shared" si="1"/>
        <v>48000</v>
      </c>
      <c r="O31" s="2">
        <f t="shared" si="1"/>
        <v>48000</v>
      </c>
      <c r="P31" s="3">
        <f>SUM(D31:O31)</f>
        <v>528000</v>
      </c>
    </row>
    <row r="32" spans="1:20">
      <c r="B32" t="s">
        <v>149</v>
      </c>
      <c r="D32" s="3">
        <f>D$30-D$31</f>
        <v>6000</v>
      </c>
      <c r="E32" s="3">
        <f t="shared" ref="E32:O32" si="2">E$30-E$31</f>
        <v>6000</v>
      </c>
      <c r="F32" s="3">
        <f t="shared" si="2"/>
        <v>6000</v>
      </c>
      <c r="G32" s="3">
        <f t="shared" si="2"/>
        <v>6000</v>
      </c>
      <c r="H32" s="3">
        <f t="shared" si="2"/>
        <v>6000</v>
      </c>
      <c r="I32" s="3">
        <f t="shared" si="2"/>
        <v>6000</v>
      </c>
      <c r="J32" s="3">
        <f t="shared" si="2"/>
        <v>6000</v>
      </c>
      <c r="K32" s="3">
        <f t="shared" si="2"/>
        <v>6000</v>
      </c>
      <c r="L32" s="3">
        <f t="shared" si="2"/>
        <v>0</v>
      </c>
      <c r="M32" s="3">
        <f t="shared" si="2"/>
        <v>0</v>
      </c>
      <c r="N32" s="3">
        <f t="shared" si="2"/>
        <v>0</v>
      </c>
      <c r="O32" s="3">
        <f t="shared" si="2"/>
        <v>0</v>
      </c>
      <c r="P32" s="3">
        <f>P30-P31</f>
        <v>48000</v>
      </c>
    </row>
    <row r="33" spans="2:16">
      <c r="P33" s="3"/>
    </row>
    <row r="36" spans="2:16">
      <c r="B36" t="s">
        <v>374</v>
      </c>
      <c r="C36">
        <v>350</v>
      </c>
    </row>
    <row r="37" spans="2:16">
      <c r="B37" t="s">
        <v>375</v>
      </c>
      <c r="C37">
        <v>400</v>
      </c>
      <c r="D37" t="s">
        <v>571</v>
      </c>
      <c r="E37" t="s">
        <v>572</v>
      </c>
      <c r="F37" t="s">
        <v>573</v>
      </c>
    </row>
    <row r="38" spans="2:16">
      <c r="B38" t="s">
        <v>549</v>
      </c>
      <c r="C38">
        <f>SUM(D38:F38)</f>
        <v>550</v>
      </c>
      <c r="D38">
        <v>400</v>
      </c>
      <c r="E38">
        <v>110</v>
      </c>
      <c r="F38">
        <v>40</v>
      </c>
    </row>
    <row r="40" spans="2:16">
      <c r="D40" t="s">
        <v>153</v>
      </c>
    </row>
    <row r="41" spans="2:16">
      <c r="C41" t="s">
        <v>397</v>
      </c>
      <c r="D41" t="s">
        <v>377</v>
      </c>
      <c r="F41" t="s">
        <v>328</v>
      </c>
      <c r="H41" t="s">
        <v>192</v>
      </c>
    </row>
    <row r="42" spans="2:16">
      <c r="B42" t="s">
        <v>591</v>
      </c>
      <c r="C42" s="2">
        <v>1440</v>
      </c>
      <c r="D42" s="2">
        <v>350</v>
      </c>
      <c r="E42" s="2">
        <f>C42*D42</f>
        <v>504000</v>
      </c>
      <c r="F42" s="2">
        <v>400</v>
      </c>
      <c r="G42" s="2">
        <f>C42*F42</f>
        <v>576000</v>
      </c>
      <c r="H42" s="2">
        <v>400</v>
      </c>
      <c r="I42" s="2">
        <f>C42*H42</f>
        <v>576000</v>
      </c>
    </row>
    <row r="43" spans="2:16">
      <c r="B43" s="43"/>
      <c r="C43" s="2"/>
      <c r="D43" s="2"/>
      <c r="E43" s="2"/>
      <c r="F43" s="2"/>
      <c r="G43" s="2"/>
    </row>
    <row r="44" spans="2:16">
      <c r="B44" s="111" t="s">
        <v>156</v>
      </c>
      <c r="C44" s="2"/>
      <c r="D44" s="2"/>
      <c r="E44" s="2">
        <f>SUM(E42:E43)</f>
        <v>504000</v>
      </c>
      <c r="G44" s="3">
        <f>SUM(G42:G43)</f>
        <v>576000</v>
      </c>
      <c r="H44" s="3"/>
      <c r="I44" s="3">
        <f>SUM(I42:I43)</f>
        <v>576000</v>
      </c>
    </row>
    <row r="45" spans="2:16">
      <c r="B45" s="111" t="s">
        <v>126</v>
      </c>
      <c r="C45" s="2"/>
      <c r="D45" s="2"/>
      <c r="E45" s="2">
        <f>E44/12</f>
        <v>42000</v>
      </c>
      <c r="G45" s="3">
        <f>G44/12</f>
        <v>48000</v>
      </c>
      <c r="I45" s="2">
        <f>I44/12</f>
        <v>48000</v>
      </c>
    </row>
    <row r="46" spans="2:16">
      <c r="F46" t="s">
        <v>388</v>
      </c>
      <c r="G46" s="1">
        <v>48000</v>
      </c>
      <c r="H46" s="25" t="s">
        <v>389</v>
      </c>
      <c r="I46" s="26">
        <v>67000</v>
      </c>
    </row>
    <row r="49" spans="1:16">
      <c r="A49" t="s">
        <v>123</v>
      </c>
      <c r="D49" t="s">
        <v>127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136</v>
      </c>
      <c r="N49" t="s">
        <v>137</v>
      </c>
      <c r="O49" t="s">
        <v>138</v>
      </c>
    </row>
    <row r="50" spans="1:16">
      <c r="A50" t="s">
        <v>593</v>
      </c>
      <c r="B50" s="25" t="s">
        <v>140</v>
      </c>
      <c r="C50" s="25"/>
      <c r="D50" s="26">
        <v>48000</v>
      </c>
      <c r="E50" s="26">
        <v>48000</v>
      </c>
      <c r="F50" s="26">
        <v>48000</v>
      </c>
      <c r="G50" s="26">
        <v>48000</v>
      </c>
      <c r="H50" s="26">
        <v>48000</v>
      </c>
      <c r="I50" s="26">
        <v>48000</v>
      </c>
      <c r="J50" s="26">
        <v>48000</v>
      </c>
      <c r="K50" s="26">
        <v>48000</v>
      </c>
      <c r="L50" s="26">
        <v>48000</v>
      </c>
      <c r="M50" s="26">
        <v>48000</v>
      </c>
      <c r="N50" s="26">
        <v>48000</v>
      </c>
      <c r="O50" s="26">
        <v>48000</v>
      </c>
      <c r="P50" s="26">
        <f>SUM(D50:O50)</f>
        <v>576000</v>
      </c>
    </row>
    <row r="51" spans="1:16">
      <c r="B51" t="s">
        <v>141</v>
      </c>
      <c r="C51">
        <v>550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>
        <f>SUM(D51:O51)</f>
        <v>0</v>
      </c>
    </row>
  </sheetData>
  <phoneticPr fontId="6"/>
  <pageMargins left="0.7" right="0.7" top="0.75" bottom="0.75" header="0.3" footer="0.3"/>
  <drawing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5D81-2929-4224-ABB5-B043186E9C30}">
  <sheetPr codeName="Sheet6">
    <tabColor rgb="FFFFC000"/>
  </sheetPr>
  <dimension ref="A25:AD113"/>
  <sheetViews>
    <sheetView topLeftCell="D67" zoomScale="85" zoomScaleNormal="85" workbookViewId="0">
      <selection activeCell="K20" sqref="K20"/>
    </sheetView>
  </sheetViews>
  <sheetFormatPr defaultRowHeight="18"/>
  <cols>
    <col min="2" max="2" width="43" bestFit="1" customWidth="1"/>
    <col min="3" max="3" width="16" customWidth="1"/>
    <col min="4" max="4" width="13.75" customWidth="1"/>
    <col min="5" max="5" width="15.5" customWidth="1"/>
    <col min="6" max="6" width="18.25" bestFit="1" customWidth="1"/>
    <col min="7" max="7" width="15.75" bestFit="1" customWidth="1"/>
    <col min="8" max="8" width="10.875" bestFit="1" customWidth="1"/>
    <col min="9" max="9" width="10.375" bestFit="1" customWidth="1"/>
    <col min="10" max="10" width="10.5" bestFit="1" customWidth="1"/>
    <col min="11" max="11" width="12.375" customWidth="1"/>
    <col min="12" max="12" width="10.875" customWidth="1"/>
    <col min="13" max="13" width="10.375" bestFit="1" customWidth="1"/>
    <col min="14" max="14" width="11.625" customWidth="1"/>
    <col min="15" max="15" width="11.125" customWidth="1"/>
    <col min="16" max="16" width="12.125" customWidth="1"/>
    <col min="17" max="17" width="11" bestFit="1" customWidth="1"/>
    <col min="18" max="18" width="10.375" bestFit="1" customWidth="1"/>
    <col min="19" max="19" width="10" bestFit="1" customWidth="1"/>
    <col min="22" max="22" width="10.875" bestFit="1" customWidth="1"/>
    <col min="24" max="24" width="13.875" customWidth="1"/>
    <col min="27" max="27" width="32.125" customWidth="1"/>
  </cols>
  <sheetData>
    <row r="25" spans="9:9">
      <c r="I25" t="s">
        <v>594</v>
      </c>
    </row>
    <row r="26" spans="9:9">
      <c r="I26" s="114" t="s">
        <v>595</v>
      </c>
    </row>
    <row r="34" spans="1:30">
      <c r="A34" t="s">
        <v>596</v>
      </c>
    </row>
    <row r="35" spans="1:30">
      <c r="E35" t="s">
        <v>597</v>
      </c>
      <c r="F35" t="s">
        <v>598</v>
      </c>
      <c r="I35" t="s">
        <v>599</v>
      </c>
    </row>
    <row r="36" spans="1:30">
      <c r="F36" t="s">
        <v>424</v>
      </c>
      <c r="G36" t="s">
        <v>344</v>
      </c>
      <c r="H36" t="s">
        <v>139</v>
      </c>
      <c r="I36" t="s">
        <v>424</v>
      </c>
      <c r="J36" t="s">
        <v>344</v>
      </c>
      <c r="K36" t="s">
        <v>139</v>
      </c>
    </row>
    <row r="37" spans="1:30">
      <c r="B37" t="s">
        <v>374</v>
      </c>
      <c r="E37">
        <v>3</v>
      </c>
      <c r="F37">
        <v>58</v>
      </c>
      <c r="I37">
        <v>325</v>
      </c>
    </row>
    <row r="38" spans="1:30">
      <c r="B38" t="s">
        <v>375</v>
      </c>
      <c r="E38">
        <v>3</v>
      </c>
      <c r="F38">
        <v>60</v>
      </c>
      <c r="I38">
        <v>375</v>
      </c>
    </row>
    <row r="39" spans="1:30">
      <c r="B39" t="s">
        <v>549</v>
      </c>
      <c r="E39">
        <v>0</v>
      </c>
      <c r="F39">
        <v>61</v>
      </c>
      <c r="G39">
        <v>14</v>
      </c>
      <c r="H39">
        <f>SUM(F39:G39)</f>
        <v>75</v>
      </c>
      <c r="I39">
        <v>427</v>
      </c>
      <c r="K39">
        <f>SUM(I39:J39)</f>
        <v>427</v>
      </c>
    </row>
    <row r="40" spans="1:30">
      <c r="B40" t="s">
        <v>550</v>
      </c>
      <c r="E40">
        <v>0</v>
      </c>
      <c r="F40">
        <v>21</v>
      </c>
      <c r="G40">
        <v>4</v>
      </c>
      <c r="H40">
        <f>SUM(F40:G40)</f>
        <v>25</v>
      </c>
      <c r="I40">
        <v>70</v>
      </c>
      <c r="J40">
        <v>20</v>
      </c>
      <c r="K40">
        <f>SUM(I40:J40)</f>
        <v>90</v>
      </c>
    </row>
    <row r="43" spans="1:30">
      <c r="D43" t="s">
        <v>600</v>
      </c>
      <c r="E43" t="s">
        <v>601</v>
      </c>
    </row>
    <row r="44" spans="1:30" ht="18.600000000000001" thickBot="1">
      <c r="D44" t="s">
        <v>602</v>
      </c>
      <c r="E44" t="s">
        <v>601</v>
      </c>
    </row>
    <row r="45" spans="1:30" ht="18.600000000000001" thickTop="1">
      <c r="B45" s="274"/>
      <c r="C45" s="275" t="s">
        <v>603</v>
      </c>
      <c r="D45" s="276" t="s">
        <v>329</v>
      </c>
      <c r="E45" s="276"/>
      <c r="F45" s="276"/>
      <c r="G45" s="277"/>
      <c r="I45" t="s">
        <v>377</v>
      </c>
      <c r="K45" s="35" t="s">
        <v>604</v>
      </c>
      <c r="N45" s="35" t="s">
        <v>605</v>
      </c>
      <c r="S45" s="35" t="s">
        <v>123</v>
      </c>
      <c r="Y45" s="35" t="s">
        <v>123</v>
      </c>
    </row>
    <row r="46" spans="1:30">
      <c r="B46" s="278"/>
      <c r="E46" s="39" t="s">
        <v>246</v>
      </c>
      <c r="F46" s="39" t="s">
        <v>153</v>
      </c>
      <c r="G46" s="279" t="s">
        <v>268</v>
      </c>
      <c r="H46" s="39" t="s">
        <v>246</v>
      </c>
      <c r="I46" s="39" t="s">
        <v>153</v>
      </c>
      <c r="J46" s="39" t="s">
        <v>139</v>
      </c>
      <c r="K46" s="40" t="s">
        <v>246</v>
      </c>
      <c r="L46" s="41" t="s">
        <v>153</v>
      </c>
      <c r="M46" s="41" t="s">
        <v>139</v>
      </c>
      <c r="N46" s="40" t="s">
        <v>246</v>
      </c>
      <c r="O46" s="41" t="s">
        <v>153</v>
      </c>
      <c r="P46" s="41" t="s">
        <v>139</v>
      </c>
      <c r="Q46" s="41"/>
      <c r="S46" s="35" t="s">
        <v>246</v>
      </c>
      <c r="T46" t="s">
        <v>153</v>
      </c>
      <c r="U46" t="s">
        <v>139</v>
      </c>
      <c r="Y46" s="35" t="s">
        <v>246</v>
      </c>
      <c r="Z46" t="s">
        <v>153</v>
      </c>
      <c r="AA46" t="s">
        <v>139</v>
      </c>
    </row>
    <row r="47" spans="1:30">
      <c r="B47" s="278" t="s">
        <v>597</v>
      </c>
      <c r="C47" t="s">
        <v>606</v>
      </c>
      <c r="E47" s="31">
        <v>0</v>
      </c>
      <c r="F47" s="31">
        <v>0</v>
      </c>
      <c r="G47" s="280">
        <f>E47*F47</f>
        <v>0</v>
      </c>
      <c r="H47" s="31">
        <v>8610</v>
      </c>
      <c r="I47" s="31">
        <v>3</v>
      </c>
      <c r="J47" s="31">
        <f>H47*I47</f>
        <v>25830</v>
      </c>
      <c r="K47" s="36">
        <f>H47*1.2</f>
        <v>10332</v>
      </c>
      <c r="L47" s="31">
        <v>3</v>
      </c>
      <c r="M47" s="31">
        <f>K47*L47</f>
        <v>30996</v>
      </c>
      <c r="N47" s="414" t="s">
        <v>607</v>
      </c>
      <c r="O47" s="414"/>
      <c r="P47" s="414"/>
      <c r="Q47" s="414"/>
      <c r="R47" s="414"/>
      <c r="S47" s="35" t="s">
        <v>606</v>
      </c>
      <c r="U47" s="2"/>
      <c r="Y47" s="35" t="s">
        <v>606</v>
      </c>
      <c r="AA47" s="2"/>
    </row>
    <row r="48" spans="1:30" ht="24.95" customHeight="1">
      <c r="B48" s="278" t="s">
        <v>598</v>
      </c>
      <c r="C48" s="43">
        <v>46029</v>
      </c>
      <c r="E48" s="31">
        <v>9593</v>
      </c>
      <c r="F48" s="31">
        <v>25</v>
      </c>
      <c r="G48" s="280">
        <f t="shared" ref="G48:G49" si="0">E48*F48</f>
        <v>239825</v>
      </c>
      <c r="H48" s="2">
        <v>5890</v>
      </c>
      <c r="I48" s="2">
        <v>58</v>
      </c>
      <c r="J48" s="2">
        <f t="shared" ref="J48:J49" si="1">H48*I48</f>
        <v>341620</v>
      </c>
      <c r="K48" s="36">
        <f>H48*1.2</f>
        <v>7068</v>
      </c>
      <c r="L48" s="2">
        <v>60</v>
      </c>
      <c r="M48" s="2">
        <f>K48*L48</f>
        <v>424080</v>
      </c>
      <c r="N48" s="38">
        <v>7623</v>
      </c>
      <c r="O48" s="2">
        <v>63</v>
      </c>
      <c r="P48" s="2">
        <f>N48*O48</f>
        <v>480249</v>
      </c>
      <c r="Q48" s="3"/>
      <c r="S48" s="129">
        <f>7623*1.2</f>
        <v>9147.6</v>
      </c>
      <c r="T48">
        <f>H39</f>
        <v>75</v>
      </c>
      <c r="U48" s="2">
        <f>S48*T48</f>
        <v>686070</v>
      </c>
      <c r="W48" s="34">
        <v>70</v>
      </c>
      <c r="Y48" s="129">
        <f>7623*1.2</f>
        <v>9147.6</v>
      </c>
      <c r="Z48">
        <v>65</v>
      </c>
      <c r="AA48" s="2">
        <f>Y48*Z48</f>
        <v>594594</v>
      </c>
      <c r="AC48" s="34">
        <v>70</v>
      </c>
      <c r="AD48" s="217" t="s">
        <v>608</v>
      </c>
    </row>
    <row r="49" spans="1:29">
      <c r="B49" s="281" t="s">
        <v>609</v>
      </c>
      <c r="C49" s="43">
        <v>46235</v>
      </c>
      <c r="E49" s="31">
        <v>1180</v>
      </c>
      <c r="F49" s="31">
        <v>10</v>
      </c>
      <c r="G49" s="280">
        <f t="shared" si="0"/>
        <v>11800</v>
      </c>
      <c r="H49" s="2">
        <v>938</v>
      </c>
      <c r="I49" s="2">
        <v>325</v>
      </c>
      <c r="J49" s="2">
        <f t="shared" si="1"/>
        <v>304850</v>
      </c>
      <c r="K49" s="36">
        <v>938</v>
      </c>
      <c r="L49" s="2">
        <v>375</v>
      </c>
      <c r="M49" s="2">
        <f>K49*L49</f>
        <v>351750</v>
      </c>
      <c r="N49" s="36">
        <v>1124</v>
      </c>
      <c r="O49" s="2">
        <v>10</v>
      </c>
      <c r="P49" s="2">
        <f>O49*N49</f>
        <v>11240</v>
      </c>
      <c r="Q49" t="s">
        <v>610</v>
      </c>
      <c r="S49" s="128">
        <v>1124</v>
      </c>
      <c r="U49" s="2"/>
      <c r="W49" s="34"/>
      <c r="Y49" s="128">
        <v>1124</v>
      </c>
      <c r="AA49" s="2"/>
      <c r="AC49" s="34"/>
    </row>
    <row r="50" spans="1:29">
      <c r="B50" s="281" t="s">
        <v>611</v>
      </c>
      <c r="C50" s="43">
        <v>46029</v>
      </c>
      <c r="E50" s="31">
        <v>1180</v>
      </c>
      <c r="F50" s="31">
        <v>70</v>
      </c>
      <c r="G50" s="280">
        <f>E50*F50</f>
        <v>82600</v>
      </c>
      <c r="H50" s="2"/>
      <c r="I50" s="2"/>
      <c r="J50" s="2"/>
      <c r="K50" s="36"/>
      <c r="L50" s="2"/>
      <c r="M50" s="2"/>
      <c r="N50" s="36">
        <v>938</v>
      </c>
      <c r="O50" s="2">
        <v>355</v>
      </c>
      <c r="P50" s="2">
        <f>N50*O50</f>
        <v>332990</v>
      </c>
      <c r="S50" s="128">
        <v>1124</v>
      </c>
      <c r="T50">
        <f>K39</f>
        <v>427</v>
      </c>
      <c r="U50" s="2">
        <f>S50*T50</f>
        <v>479948</v>
      </c>
      <c r="W50" s="34">
        <v>400</v>
      </c>
      <c r="Y50" s="128">
        <v>1124</v>
      </c>
      <c r="Z50">
        <v>400</v>
      </c>
      <c r="AA50" s="2">
        <f>Y50*Z50</f>
        <v>449600</v>
      </c>
      <c r="AC50" s="34">
        <v>400</v>
      </c>
    </row>
    <row r="51" spans="1:29">
      <c r="B51" s="278"/>
      <c r="E51" s="31"/>
      <c r="F51" s="31"/>
      <c r="G51" s="280"/>
      <c r="H51" s="2"/>
      <c r="I51" s="2"/>
      <c r="J51" s="2"/>
      <c r="K51" s="36"/>
      <c r="L51" s="2"/>
      <c r="M51" s="2"/>
      <c r="N51" s="35"/>
      <c r="S51" s="35"/>
      <c r="U51" s="2"/>
      <c r="Y51" s="35"/>
      <c r="AA51" s="2"/>
    </row>
    <row r="52" spans="1:29">
      <c r="B52" s="278" t="s">
        <v>612</v>
      </c>
      <c r="E52" s="31"/>
      <c r="F52" s="16"/>
      <c r="G52" s="282">
        <f>SUM(G47:G51)</f>
        <v>334225</v>
      </c>
      <c r="H52" s="2"/>
      <c r="I52" s="11"/>
      <c r="J52" s="11">
        <f>SUM(J47:J51)</f>
        <v>672300</v>
      </c>
      <c r="K52" s="37"/>
      <c r="M52" s="3">
        <f>SUM(M47:M51)</f>
        <v>806826</v>
      </c>
      <c r="N52" s="35"/>
      <c r="P52" s="2">
        <f>SUM(P47:P50)</f>
        <v>824479</v>
      </c>
      <c r="S52" s="35"/>
      <c r="U52" s="2">
        <f>SUM(U48:U50)</f>
        <v>1166018</v>
      </c>
      <c r="Y52" s="35"/>
      <c r="AA52" s="2">
        <f>SUM(AA48:AA50)</f>
        <v>1044194</v>
      </c>
    </row>
    <row r="53" spans="1:29">
      <c r="B53" s="278" t="s">
        <v>156</v>
      </c>
      <c r="E53" s="31"/>
      <c r="F53" s="16"/>
      <c r="G53" s="282">
        <f>G52*12</f>
        <v>4010700</v>
      </c>
      <c r="H53" s="2"/>
      <c r="I53" s="11"/>
      <c r="J53" s="11">
        <f>J52*12</f>
        <v>8067600</v>
      </c>
      <c r="K53" s="37"/>
      <c r="M53" s="3">
        <f>M52*12</f>
        <v>9681912</v>
      </c>
      <c r="N53" s="35"/>
      <c r="P53" s="3">
        <f>P52*12</f>
        <v>9893748</v>
      </c>
      <c r="S53" s="35"/>
      <c r="U53" s="2">
        <f>U52*12</f>
        <v>13992216</v>
      </c>
      <c r="Y53" s="35"/>
      <c r="AA53" s="2">
        <f>AA52*12</f>
        <v>12530328</v>
      </c>
    </row>
    <row r="54" spans="1:29">
      <c r="A54" s="1"/>
      <c r="B54" s="278"/>
      <c r="G54" s="283"/>
      <c r="K54" s="35"/>
      <c r="N54" s="35"/>
      <c r="S54" s="35"/>
      <c r="U54" s="2"/>
      <c r="Y54" s="35"/>
      <c r="AA54" s="2"/>
    </row>
    <row r="55" spans="1:29">
      <c r="A55" s="30"/>
      <c r="B55" s="284" t="s">
        <v>613</v>
      </c>
      <c r="C55" s="43">
        <v>46244</v>
      </c>
      <c r="E55" s="16">
        <v>5904</v>
      </c>
      <c r="F55" s="16">
        <v>13</v>
      </c>
      <c r="G55" s="282">
        <f>E55*F55</f>
        <v>76752</v>
      </c>
      <c r="H55" s="11">
        <v>4688</v>
      </c>
      <c r="I55" s="11">
        <v>13</v>
      </c>
      <c r="J55" s="11">
        <f>H55*I55</f>
        <v>60944</v>
      </c>
      <c r="K55" s="37">
        <v>4688</v>
      </c>
      <c r="L55" s="11">
        <v>13</v>
      </c>
      <c r="M55" s="2">
        <f>K55*L55</f>
        <v>60944</v>
      </c>
      <c r="N55" s="36">
        <v>5623</v>
      </c>
      <c r="O55" s="16">
        <v>13</v>
      </c>
      <c r="P55" s="2">
        <f>N55*O55</f>
        <v>73099</v>
      </c>
      <c r="Q55" s="113" t="s">
        <v>614</v>
      </c>
      <c r="S55" s="128">
        <v>5623</v>
      </c>
      <c r="T55" s="24">
        <f>O55</f>
        <v>13</v>
      </c>
      <c r="U55" s="2">
        <f>S55*T55</f>
        <v>73099</v>
      </c>
      <c r="Y55" s="128">
        <v>5623</v>
      </c>
      <c r="Z55" s="24">
        <v>13</v>
      </c>
      <c r="AA55" s="2">
        <f>Y55*Z55</f>
        <v>73099</v>
      </c>
    </row>
    <row r="56" spans="1:29">
      <c r="A56" s="30"/>
      <c r="B56" s="284" t="s">
        <v>615</v>
      </c>
      <c r="C56" s="43">
        <v>46001</v>
      </c>
      <c r="E56" s="16">
        <v>6746</v>
      </c>
      <c r="F56" s="16">
        <v>15</v>
      </c>
      <c r="G56" s="282">
        <f>E56*F56</f>
        <v>101190</v>
      </c>
      <c r="H56" s="11">
        <v>4688</v>
      </c>
      <c r="I56" s="11">
        <v>13</v>
      </c>
      <c r="J56" s="11">
        <f>H56*I56</f>
        <v>60944</v>
      </c>
      <c r="K56" s="37"/>
      <c r="L56" s="11"/>
      <c r="M56" s="2"/>
      <c r="N56" s="36"/>
      <c r="O56" s="16"/>
      <c r="P56" s="2"/>
      <c r="Q56" s="113"/>
      <c r="S56" s="128"/>
      <c r="T56" s="24"/>
      <c r="U56" s="2"/>
      <c r="Y56" s="128"/>
      <c r="Z56" s="24"/>
      <c r="AA56" s="2"/>
    </row>
    <row r="57" spans="1:29">
      <c r="B57" s="278" t="s">
        <v>616</v>
      </c>
      <c r="C57" s="43">
        <v>46161</v>
      </c>
      <c r="E57" s="16">
        <v>294</v>
      </c>
      <c r="F57" s="285">
        <v>24</v>
      </c>
      <c r="G57" s="282">
        <f t="shared" ref="G57:G58" si="2">E57*F57</f>
        <v>7056</v>
      </c>
      <c r="H57" s="11">
        <v>234</v>
      </c>
      <c r="I57" s="29">
        <v>24</v>
      </c>
      <c r="J57" s="11">
        <f t="shared" ref="J57:J58" si="3">H57*I57</f>
        <v>5616</v>
      </c>
      <c r="K57" s="37">
        <v>234</v>
      </c>
      <c r="L57" s="29">
        <v>24</v>
      </c>
      <c r="M57" s="2">
        <f t="shared" ref="M57:M58" si="4">K57*L57</f>
        <v>5616</v>
      </c>
      <c r="N57" s="36">
        <v>280</v>
      </c>
      <c r="O57" s="2">
        <v>24</v>
      </c>
      <c r="P57" s="2">
        <f>N57*O57</f>
        <v>6720</v>
      </c>
      <c r="Q57" t="s">
        <v>617</v>
      </c>
      <c r="S57" s="128">
        <v>280</v>
      </c>
      <c r="T57" s="24">
        <f>O57</f>
        <v>24</v>
      </c>
      <c r="U57" s="2">
        <f>S57*T57</f>
        <v>6720</v>
      </c>
      <c r="Y57" s="128">
        <v>280</v>
      </c>
      <c r="Z57" s="24">
        <v>24</v>
      </c>
      <c r="AA57" s="2">
        <f>Y57*Z57</f>
        <v>6720</v>
      </c>
    </row>
    <row r="58" spans="1:29">
      <c r="B58" s="278" t="s">
        <v>618</v>
      </c>
      <c r="C58" s="43">
        <v>46182</v>
      </c>
      <c r="E58" s="1">
        <v>1475</v>
      </c>
      <c r="F58">
        <v>13</v>
      </c>
      <c r="G58" s="282">
        <f t="shared" si="2"/>
        <v>19175</v>
      </c>
      <c r="H58" s="1">
        <v>1173</v>
      </c>
      <c r="I58">
        <v>13</v>
      </c>
      <c r="J58" s="11">
        <f t="shared" si="3"/>
        <v>15249</v>
      </c>
      <c r="K58" s="36">
        <v>1173</v>
      </c>
      <c r="L58" s="2">
        <v>13</v>
      </c>
      <c r="M58" s="2">
        <f t="shared" si="4"/>
        <v>15249</v>
      </c>
      <c r="N58" s="36">
        <v>1405</v>
      </c>
      <c r="O58" s="16">
        <v>13</v>
      </c>
      <c r="P58" s="2">
        <f>N58*O58</f>
        <v>18265</v>
      </c>
      <c r="Q58" t="s">
        <v>619</v>
      </c>
      <c r="S58" s="128">
        <v>1405</v>
      </c>
      <c r="T58" s="24">
        <f>O58</f>
        <v>13</v>
      </c>
      <c r="U58" s="2">
        <f>S58*T58</f>
        <v>18265</v>
      </c>
      <c r="Y58" s="128" t="s">
        <v>620</v>
      </c>
      <c r="Z58" s="24">
        <v>13</v>
      </c>
      <c r="AA58" s="2" t="e">
        <f>Y58*Z58</f>
        <v>#VALUE!</v>
      </c>
    </row>
    <row r="59" spans="1:29">
      <c r="B59" s="278" t="s">
        <v>612</v>
      </c>
      <c r="G59" s="280">
        <f>SUM(G55:G58)</f>
        <v>204173</v>
      </c>
      <c r="J59" s="2">
        <f>SUM(J55:J58)</f>
        <v>142753</v>
      </c>
      <c r="K59" s="36"/>
      <c r="L59" s="2"/>
      <c r="M59" s="2">
        <f>SUM(M55:M58)</f>
        <v>81809</v>
      </c>
      <c r="N59" s="35"/>
      <c r="P59" s="3">
        <f>SUM(P55:P58)</f>
        <v>98084</v>
      </c>
      <c r="S59" s="35"/>
      <c r="U59" s="3">
        <f>SUM(U55:U58)</f>
        <v>98084</v>
      </c>
      <c r="Y59" s="35"/>
      <c r="AA59" s="3" t="e">
        <f>SUM(AA55:AA58)</f>
        <v>#VALUE!</v>
      </c>
    </row>
    <row r="60" spans="1:29">
      <c r="B60" s="278" t="s">
        <v>156</v>
      </c>
      <c r="G60" s="280">
        <f>G59*12</f>
        <v>2450076</v>
      </c>
      <c r="J60" s="2">
        <f>J59*12</f>
        <v>1713036</v>
      </c>
      <c r="K60" s="36"/>
      <c r="L60" s="2"/>
      <c r="M60" s="2">
        <f>M59*12</f>
        <v>981708</v>
      </c>
      <c r="N60" s="35"/>
      <c r="S60" s="35"/>
      <c r="Y60" s="35"/>
    </row>
    <row r="61" spans="1:29">
      <c r="B61" s="278"/>
      <c r="E61" s="10"/>
      <c r="G61" s="280"/>
      <c r="H61" s="10"/>
      <c r="J61" s="2"/>
      <c r="K61" s="36"/>
      <c r="L61" s="2"/>
      <c r="M61" s="2"/>
      <c r="N61" s="35"/>
      <c r="S61" s="35"/>
      <c r="Y61" s="35"/>
    </row>
    <row r="62" spans="1:29">
      <c r="B62" s="278"/>
      <c r="E62" t="s">
        <v>139</v>
      </c>
      <c r="F62" t="s">
        <v>126</v>
      </c>
      <c r="G62" s="280">
        <f>G52+G59</f>
        <v>538398</v>
      </c>
      <c r="H62" t="s">
        <v>139</v>
      </c>
      <c r="I62" t="s">
        <v>126</v>
      </c>
      <c r="J62" s="2">
        <f>J52+J59</f>
        <v>815053</v>
      </c>
      <c r="K62" s="36"/>
      <c r="L62" s="2"/>
      <c r="M62" s="11">
        <f>M52+M59</f>
        <v>888635</v>
      </c>
      <c r="N62" s="35"/>
      <c r="P62" s="3">
        <f>P52+P59</f>
        <v>922563</v>
      </c>
      <c r="S62" s="35"/>
      <c r="U62" s="24">
        <f>U52+U59</f>
        <v>1264102</v>
      </c>
      <c r="V62" s="26">
        <v>1320000</v>
      </c>
      <c r="Y62" s="35"/>
      <c r="AA62" s="24" t="e">
        <f>AA52+AA59</f>
        <v>#VALUE!</v>
      </c>
      <c r="AB62" s="26">
        <v>1320000</v>
      </c>
    </row>
    <row r="63" spans="1:29" ht="18.600000000000001" thickBot="1">
      <c r="B63" s="286"/>
      <c r="C63" s="287"/>
      <c r="D63" s="287"/>
      <c r="E63" s="287"/>
      <c r="F63" s="287" t="s">
        <v>156</v>
      </c>
      <c r="G63" s="288">
        <f>G53+G60</f>
        <v>6460776</v>
      </c>
      <c r="I63" t="s">
        <v>156</v>
      </c>
      <c r="J63" s="2">
        <f>J53+J60</f>
        <v>9780636</v>
      </c>
      <c r="K63" s="36"/>
      <c r="L63" s="2"/>
      <c r="M63" s="11">
        <f>M53+M60</f>
        <v>10663620</v>
      </c>
      <c r="N63" s="35"/>
      <c r="P63" s="2">
        <f>P62*12</f>
        <v>11070756</v>
      </c>
      <c r="S63" s="35"/>
      <c r="U63" s="2">
        <f>U62*12</f>
        <v>15169224</v>
      </c>
      <c r="Y63" s="35"/>
      <c r="AA63" s="2" t="e">
        <f>AA62*12</f>
        <v>#VALUE!</v>
      </c>
    </row>
    <row r="64" spans="1:29" ht="18.600000000000001" thickTop="1">
      <c r="I64" s="25" t="s">
        <v>528</v>
      </c>
      <c r="J64" s="27">
        <v>900000</v>
      </c>
      <c r="P64" s="35"/>
      <c r="R64" s="3">
        <f>U52+U62</f>
        <v>2430120</v>
      </c>
      <c r="V64" s="35"/>
      <c r="X64" s="3" t="e">
        <f>AA52+AA62</f>
        <v>#VALUE!</v>
      </c>
    </row>
    <row r="65" spans="1:22">
      <c r="I65" s="25"/>
      <c r="J65" s="27"/>
    </row>
    <row r="66" spans="1:22" ht="18.600000000000001" thickBot="1">
      <c r="J66" s="1"/>
    </row>
    <row r="67" spans="1:22" ht="18.600000000000001" thickTop="1"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54"/>
    </row>
    <row r="68" spans="1:22">
      <c r="A68" t="s">
        <v>124</v>
      </c>
      <c r="B68" s="48"/>
      <c r="F68" t="s">
        <v>127</v>
      </c>
      <c r="G68" t="s">
        <v>128</v>
      </c>
      <c r="H68" t="s">
        <v>129</v>
      </c>
      <c r="I68" t="s">
        <v>130</v>
      </c>
      <c r="J68" t="s">
        <v>131</v>
      </c>
      <c r="K68" t="s">
        <v>132</v>
      </c>
      <c r="L68" t="s">
        <v>133</v>
      </c>
      <c r="M68" t="s">
        <v>134</v>
      </c>
      <c r="N68" t="s">
        <v>135</v>
      </c>
      <c r="O68" t="s">
        <v>136</v>
      </c>
      <c r="P68" t="s">
        <v>137</v>
      </c>
      <c r="Q68" t="s">
        <v>138</v>
      </c>
      <c r="R68" s="55"/>
    </row>
    <row r="69" spans="1:22">
      <c r="B69" s="48" t="s">
        <v>621</v>
      </c>
      <c r="C69" t="s">
        <v>622</v>
      </c>
      <c r="D69" s="31"/>
      <c r="E69" s="31" t="s">
        <v>623</v>
      </c>
      <c r="F69" s="18">
        <v>375000</v>
      </c>
      <c r="G69" s="18">
        <v>375000</v>
      </c>
      <c r="H69" s="18">
        <v>391000</v>
      </c>
      <c r="I69" s="18">
        <v>391000</v>
      </c>
      <c r="J69" s="18">
        <v>391000</v>
      </c>
      <c r="K69" s="18">
        <v>392000</v>
      </c>
      <c r="L69" s="18">
        <v>392000</v>
      </c>
      <c r="M69" s="18">
        <v>411000</v>
      </c>
      <c r="N69" s="18">
        <v>411000</v>
      </c>
      <c r="O69" s="18">
        <v>411000</v>
      </c>
      <c r="P69" s="18">
        <v>411000</v>
      </c>
      <c r="Q69" s="18">
        <v>411000</v>
      </c>
      <c r="R69" s="381">
        <f>SUM(F69:Q69)</f>
        <v>4762000</v>
      </c>
      <c r="S69" t="s">
        <v>409</v>
      </c>
      <c r="V69" s="3">
        <f>R69-Q96</f>
        <v>-9038000</v>
      </c>
    </row>
    <row r="70" spans="1:22">
      <c r="B70" s="48"/>
      <c r="D70" s="31"/>
      <c r="E70" s="389" t="s">
        <v>624</v>
      </c>
      <c r="F70" s="389">
        <f>F$83+F$90</f>
        <v>374552</v>
      </c>
      <c r="G70" s="389">
        <f t="shared" ref="G70:Q70" si="5">G$83+G$90</f>
        <v>374552</v>
      </c>
      <c r="H70" s="389">
        <f t="shared" si="5"/>
        <v>390045</v>
      </c>
      <c r="I70" s="389">
        <f t="shared" si="5"/>
        <v>390045</v>
      </c>
      <c r="J70" s="389">
        <f t="shared" si="5"/>
        <v>390397.8</v>
      </c>
      <c r="K70" s="389">
        <f t="shared" si="5"/>
        <v>391356.55</v>
      </c>
      <c r="L70" s="389">
        <f t="shared" si="5"/>
        <v>391356.55</v>
      </c>
      <c r="M70" s="389">
        <f t="shared" si="5"/>
        <v>410687.15</v>
      </c>
      <c r="N70" s="389">
        <f t="shared" si="5"/>
        <v>410687.15</v>
      </c>
      <c r="O70" s="389">
        <f t="shared" si="5"/>
        <v>410687.15</v>
      </c>
      <c r="P70" s="389">
        <f t="shared" si="5"/>
        <v>410687.15</v>
      </c>
      <c r="Q70" s="389">
        <f t="shared" si="5"/>
        <v>410687.15</v>
      </c>
      <c r="R70" s="395">
        <f>SUM(F70:Q70)</f>
        <v>4755740.6500000004</v>
      </c>
      <c r="S70" t="s">
        <v>410</v>
      </c>
      <c r="V70" s="3">
        <f>R69-Q97</f>
        <v>-9725006</v>
      </c>
    </row>
    <row r="71" spans="1:22">
      <c r="B71" s="303" t="s">
        <v>598</v>
      </c>
      <c r="C71" s="43">
        <v>46029</v>
      </c>
      <c r="D71" s="296" t="s">
        <v>625</v>
      </c>
      <c r="E71" s="296"/>
      <c r="F71" s="296">
        <v>3</v>
      </c>
      <c r="G71" s="296">
        <v>3</v>
      </c>
      <c r="H71" s="296">
        <v>3</v>
      </c>
      <c r="I71" s="296">
        <v>3</v>
      </c>
      <c r="J71" s="296">
        <v>3</v>
      </c>
      <c r="K71" s="296">
        <v>3</v>
      </c>
      <c r="L71" s="296">
        <v>3</v>
      </c>
      <c r="M71" s="296">
        <v>3</v>
      </c>
      <c r="N71" s="296">
        <v>3</v>
      </c>
      <c r="O71" s="296">
        <v>3</v>
      </c>
      <c r="P71" s="296">
        <v>3</v>
      </c>
      <c r="Q71" s="296">
        <v>3</v>
      </c>
      <c r="R71" s="49"/>
    </row>
    <row r="72" spans="1:22">
      <c r="B72" s="303"/>
      <c r="C72" s="43"/>
      <c r="D72" s="391" t="s">
        <v>626</v>
      </c>
      <c r="E72" s="296"/>
      <c r="F72" s="296">
        <f>$E$74*F71</f>
        <v>28779</v>
      </c>
      <c r="G72" s="296">
        <f t="shared" ref="G72:Q72" si="6">$E$74*G71</f>
        <v>28779</v>
      </c>
      <c r="H72" s="296">
        <f t="shared" si="6"/>
        <v>28779</v>
      </c>
      <c r="I72" s="296">
        <f t="shared" si="6"/>
        <v>28779</v>
      </c>
      <c r="J72" s="296">
        <f t="shared" si="6"/>
        <v>28779</v>
      </c>
      <c r="K72" s="296">
        <f t="shared" si="6"/>
        <v>28779</v>
      </c>
      <c r="L72" s="296">
        <f t="shared" si="6"/>
        <v>28779</v>
      </c>
      <c r="M72" s="296">
        <f t="shared" si="6"/>
        <v>28779</v>
      </c>
      <c r="N72" s="296">
        <f t="shared" si="6"/>
        <v>28779</v>
      </c>
      <c r="O72" s="296">
        <f t="shared" si="6"/>
        <v>28779</v>
      </c>
      <c r="P72" s="296">
        <f t="shared" si="6"/>
        <v>28779</v>
      </c>
      <c r="Q72" s="296">
        <f t="shared" si="6"/>
        <v>28779</v>
      </c>
      <c r="R72" s="380">
        <f>SUM(F72:Q72)</f>
        <v>345348</v>
      </c>
    </row>
    <row r="73" spans="1:22">
      <c r="B73" s="303"/>
      <c r="C73" s="43"/>
      <c r="D73" s="389" t="s">
        <v>627</v>
      </c>
      <c r="E73" s="389"/>
      <c r="F73" s="389">
        <v>3</v>
      </c>
      <c r="G73" s="389">
        <v>3</v>
      </c>
      <c r="H73" s="389">
        <v>4</v>
      </c>
      <c r="I73" s="389">
        <v>4</v>
      </c>
      <c r="J73" s="389">
        <v>4</v>
      </c>
      <c r="K73" s="389">
        <v>4</v>
      </c>
      <c r="L73" s="389">
        <v>4</v>
      </c>
      <c r="M73" s="389">
        <v>5</v>
      </c>
      <c r="N73" s="389">
        <v>5</v>
      </c>
      <c r="O73" s="389">
        <v>5</v>
      </c>
      <c r="P73" s="389">
        <v>5</v>
      </c>
      <c r="Q73" s="389">
        <v>5</v>
      </c>
      <c r="R73" s="49"/>
    </row>
    <row r="74" spans="1:22">
      <c r="B74" s="48"/>
      <c r="C74" s="43"/>
      <c r="D74" s="390" t="s">
        <v>628</v>
      </c>
      <c r="E74" s="389">
        <v>9593</v>
      </c>
      <c r="F74" s="389">
        <f>$E$74*F$73</f>
        <v>28779</v>
      </c>
      <c r="G74" s="389">
        <f t="shared" ref="G74:Q74" si="7">$E$74*G$73</f>
        <v>28779</v>
      </c>
      <c r="H74" s="389">
        <f t="shared" si="7"/>
        <v>38372</v>
      </c>
      <c r="I74" s="389">
        <f t="shared" si="7"/>
        <v>38372</v>
      </c>
      <c r="J74" s="389">
        <f t="shared" si="7"/>
        <v>38372</v>
      </c>
      <c r="K74" s="389">
        <f t="shared" si="7"/>
        <v>38372</v>
      </c>
      <c r="L74" s="389">
        <f t="shared" si="7"/>
        <v>38372</v>
      </c>
      <c r="M74" s="389">
        <f t="shared" si="7"/>
        <v>47965</v>
      </c>
      <c r="N74" s="389">
        <f t="shared" si="7"/>
        <v>47965</v>
      </c>
      <c r="O74" s="389">
        <f t="shared" si="7"/>
        <v>47965</v>
      </c>
      <c r="P74" s="389">
        <f t="shared" si="7"/>
        <v>47965</v>
      </c>
      <c r="Q74" s="389">
        <f t="shared" si="7"/>
        <v>47965</v>
      </c>
      <c r="R74" s="395">
        <f>SUM(F74:Q74)</f>
        <v>489243</v>
      </c>
    </row>
    <row r="75" spans="1:22">
      <c r="B75" s="304" t="s">
        <v>609</v>
      </c>
      <c r="C75" s="43">
        <v>46235</v>
      </c>
      <c r="D75" s="296" t="s">
        <v>625</v>
      </c>
      <c r="E75" s="296"/>
      <c r="F75" s="296">
        <v>10</v>
      </c>
      <c r="G75" s="296">
        <v>10</v>
      </c>
      <c r="H75" s="296">
        <v>10</v>
      </c>
      <c r="I75" s="296">
        <v>10</v>
      </c>
      <c r="J75" s="296">
        <v>10</v>
      </c>
      <c r="K75" s="296">
        <v>10</v>
      </c>
      <c r="L75" s="296">
        <v>10</v>
      </c>
      <c r="M75" s="296">
        <v>10</v>
      </c>
      <c r="N75" s="296">
        <v>0</v>
      </c>
      <c r="O75" s="296">
        <v>0</v>
      </c>
      <c r="P75" s="296">
        <v>0</v>
      </c>
      <c r="Q75" s="296">
        <v>0</v>
      </c>
      <c r="R75" s="273"/>
    </row>
    <row r="76" spans="1:22">
      <c r="B76" s="304"/>
      <c r="C76" s="43"/>
      <c r="D76" s="391" t="s">
        <v>626</v>
      </c>
      <c r="E76" s="296"/>
      <c r="F76" s="296">
        <f>$E$78*F75</f>
        <v>11800</v>
      </c>
      <c r="G76" s="296">
        <f t="shared" ref="G76:Q76" si="8">$E$78*G75</f>
        <v>11800</v>
      </c>
      <c r="H76" s="296">
        <f t="shared" si="8"/>
        <v>11800</v>
      </c>
      <c r="I76" s="296">
        <f t="shared" si="8"/>
        <v>11800</v>
      </c>
      <c r="J76" s="296">
        <f t="shared" si="8"/>
        <v>11800</v>
      </c>
      <c r="K76" s="296">
        <f t="shared" si="8"/>
        <v>11800</v>
      </c>
      <c r="L76" s="296">
        <f t="shared" si="8"/>
        <v>11800</v>
      </c>
      <c r="M76" s="296">
        <f t="shared" si="8"/>
        <v>11800</v>
      </c>
      <c r="N76" s="296">
        <f t="shared" si="8"/>
        <v>0</v>
      </c>
      <c r="O76" s="296">
        <f t="shared" si="8"/>
        <v>0</v>
      </c>
      <c r="P76" s="296">
        <f t="shared" si="8"/>
        <v>0</v>
      </c>
      <c r="Q76" s="296">
        <f t="shared" si="8"/>
        <v>0</v>
      </c>
      <c r="R76" s="380">
        <f>SUM(F76:Q76)</f>
        <v>94400</v>
      </c>
    </row>
    <row r="77" spans="1:22">
      <c r="B77" s="304"/>
      <c r="C77" s="43"/>
      <c r="D77" s="389" t="s">
        <v>627</v>
      </c>
      <c r="E77" s="389"/>
      <c r="F77" s="389">
        <v>10</v>
      </c>
      <c r="G77" s="389">
        <v>10</v>
      </c>
      <c r="H77" s="389">
        <v>10</v>
      </c>
      <c r="I77" s="389">
        <v>10</v>
      </c>
      <c r="J77" s="389">
        <v>10</v>
      </c>
      <c r="K77" s="389">
        <v>10</v>
      </c>
      <c r="L77" s="389">
        <v>10</v>
      </c>
      <c r="M77" s="389">
        <v>10</v>
      </c>
      <c r="N77" s="389"/>
      <c r="O77" s="389"/>
      <c r="P77" s="389"/>
      <c r="Q77" s="389"/>
      <c r="R77" s="273"/>
    </row>
    <row r="78" spans="1:22">
      <c r="B78" s="290"/>
      <c r="C78" s="43"/>
      <c r="D78" s="390" t="s">
        <v>628</v>
      </c>
      <c r="E78" s="389">
        <v>1180</v>
      </c>
      <c r="F78" s="389">
        <f t="shared" ref="F78:Q78" si="9">$E$78*F$75</f>
        <v>11800</v>
      </c>
      <c r="G78" s="389">
        <f t="shared" si="9"/>
        <v>11800</v>
      </c>
      <c r="H78" s="389">
        <f t="shared" si="9"/>
        <v>11800</v>
      </c>
      <c r="I78" s="389">
        <f t="shared" si="9"/>
        <v>11800</v>
      </c>
      <c r="J78" s="389">
        <f t="shared" si="9"/>
        <v>11800</v>
      </c>
      <c r="K78" s="389">
        <f t="shared" si="9"/>
        <v>11800</v>
      </c>
      <c r="L78" s="389">
        <f t="shared" si="9"/>
        <v>11800</v>
      </c>
      <c r="M78" s="389">
        <f t="shared" si="9"/>
        <v>11800</v>
      </c>
      <c r="N78" s="389">
        <f t="shared" si="9"/>
        <v>0</v>
      </c>
      <c r="O78" s="389">
        <f t="shared" si="9"/>
        <v>0</v>
      </c>
      <c r="P78" s="389">
        <f t="shared" si="9"/>
        <v>0</v>
      </c>
      <c r="Q78" s="389">
        <f t="shared" si="9"/>
        <v>0</v>
      </c>
      <c r="R78" s="395">
        <f>SUM(F78:Q78)</f>
        <v>94400</v>
      </c>
    </row>
    <row r="79" spans="1:22">
      <c r="B79" s="304" t="s">
        <v>611</v>
      </c>
      <c r="C79" s="43">
        <v>46029</v>
      </c>
      <c r="D79" s="296" t="s">
        <v>629</v>
      </c>
      <c r="E79" s="296"/>
      <c r="F79" s="296">
        <v>105</v>
      </c>
      <c r="G79" s="296">
        <v>105</v>
      </c>
      <c r="H79" s="296">
        <v>105</v>
      </c>
      <c r="I79" s="296">
        <v>105</v>
      </c>
      <c r="J79" s="296">
        <v>105</v>
      </c>
      <c r="K79" s="296">
        <v>105</v>
      </c>
      <c r="L79" s="296">
        <v>105</v>
      </c>
      <c r="M79" s="296">
        <v>105</v>
      </c>
      <c r="N79" s="296">
        <v>115</v>
      </c>
      <c r="O79" s="296">
        <v>115</v>
      </c>
      <c r="P79" s="296">
        <v>115</v>
      </c>
      <c r="Q79" s="296">
        <v>115</v>
      </c>
      <c r="R79" s="273"/>
    </row>
    <row r="80" spans="1:22">
      <c r="B80" s="304"/>
      <c r="C80" s="43"/>
      <c r="D80" s="391" t="s">
        <v>626</v>
      </c>
      <c r="E80" s="296"/>
      <c r="F80" s="296">
        <f>$E$82*F79</f>
        <v>123900</v>
      </c>
      <c r="G80" s="296">
        <f t="shared" ref="G80:Q80" si="10">$E$82*G79</f>
        <v>123900</v>
      </c>
      <c r="H80" s="296">
        <f t="shared" si="10"/>
        <v>123900</v>
      </c>
      <c r="I80" s="296">
        <f t="shared" si="10"/>
        <v>123900</v>
      </c>
      <c r="J80" s="296">
        <f t="shared" si="10"/>
        <v>123900</v>
      </c>
      <c r="K80" s="296">
        <f t="shared" si="10"/>
        <v>123900</v>
      </c>
      <c r="L80" s="296">
        <f t="shared" si="10"/>
        <v>123900</v>
      </c>
      <c r="M80" s="296">
        <f t="shared" si="10"/>
        <v>123900</v>
      </c>
      <c r="N80" s="296">
        <f t="shared" si="10"/>
        <v>135700</v>
      </c>
      <c r="O80" s="296">
        <f t="shared" si="10"/>
        <v>135700</v>
      </c>
      <c r="P80" s="296">
        <f t="shared" si="10"/>
        <v>135700</v>
      </c>
      <c r="Q80" s="296">
        <f t="shared" si="10"/>
        <v>135700</v>
      </c>
      <c r="R80" s="380">
        <f>SUM(F80:Q80)</f>
        <v>1534000</v>
      </c>
    </row>
    <row r="81" spans="1:18">
      <c r="B81" s="304"/>
      <c r="C81" s="43"/>
      <c r="D81" s="390" t="s">
        <v>630</v>
      </c>
      <c r="E81" s="389"/>
      <c r="F81" s="389">
        <v>110</v>
      </c>
      <c r="G81" s="389">
        <v>110</v>
      </c>
      <c r="H81" s="389">
        <v>115</v>
      </c>
      <c r="I81" s="389">
        <v>115</v>
      </c>
      <c r="J81" s="389">
        <v>115</v>
      </c>
      <c r="K81" s="389">
        <v>115</v>
      </c>
      <c r="L81" s="389">
        <v>115</v>
      </c>
      <c r="M81" s="389">
        <v>120</v>
      </c>
      <c r="N81" s="389">
        <v>130</v>
      </c>
      <c r="O81" s="389">
        <v>130</v>
      </c>
      <c r="P81" s="389">
        <v>130</v>
      </c>
      <c r="Q81" s="389">
        <v>130</v>
      </c>
      <c r="R81" s="273"/>
    </row>
    <row r="82" spans="1:18">
      <c r="B82" s="48"/>
      <c r="D82" s="390" t="s">
        <v>628</v>
      </c>
      <c r="E82" s="389">
        <v>1180</v>
      </c>
      <c r="F82" s="389">
        <f t="shared" ref="F82:Q82" si="11">$E$82*F$81</f>
        <v>129800</v>
      </c>
      <c r="G82" s="389">
        <f t="shared" si="11"/>
        <v>129800</v>
      </c>
      <c r="H82" s="389">
        <f t="shared" si="11"/>
        <v>135700</v>
      </c>
      <c r="I82" s="389">
        <f t="shared" si="11"/>
        <v>135700</v>
      </c>
      <c r="J82" s="389">
        <f t="shared" si="11"/>
        <v>135700</v>
      </c>
      <c r="K82" s="389">
        <f t="shared" si="11"/>
        <v>135700</v>
      </c>
      <c r="L82" s="389">
        <f t="shared" si="11"/>
        <v>135700</v>
      </c>
      <c r="M82" s="389">
        <f t="shared" si="11"/>
        <v>141600</v>
      </c>
      <c r="N82" s="389">
        <f t="shared" si="11"/>
        <v>153400</v>
      </c>
      <c r="O82" s="389">
        <f t="shared" si="11"/>
        <v>153400</v>
      </c>
      <c r="P82" s="389">
        <f t="shared" si="11"/>
        <v>153400</v>
      </c>
      <c r="Q82" s="389">
        <f t="shared" si="11"/>
        <v>153400</v>
      </c>
      <c r="R82" s="395">
        <f>SUM(F82:Q82)</f>
        <v>1693300</v>
      </c>
    </row>
    <row r="83" spans="1:18">
      <c r="B83" s="48"/>
      <c r="D83" s="392" t="s">
        <v>631</v>
      </c>
      <c r="E83" s="392"/>
      <c r="F83" s="393">
        <f>SUM(F$74+F$78+F$82)</f>
        <v>170379</v>
      </c>
      <c r="G83" s="393">
        <f t="shared" ref="G83:Q83" si="12">SUM(G$74+G$78+G$82)</f>
        <v>170379</v>
      </c>
      <c r="H83" s="393">
        <f t="shared" si="12"/>
        <v>185872</v>
      </c>
      <c r="I83" s="393">
        <f t="shared" si="12"/>
        <v>185872</v>
      </c>
      <c r="J83" s="393">
        <f t="shared" si="12"/>
        <v>185872</v>
      </c>
      <c r="K83" s="393">
        <f t="shared" si="12"/>
        <v>185872</v>
      </c>
      <c r="L83" s="393">
        <f t="shared" si="12"/>
        <v>185872</v>
      </c>
      <c r="M83" s="393">
        <f t="shared" si="12"/>
        <v>201365</v>
      </c>
      <c r="N83" s="393">
        <f t="shared" si="12"/>
        <v>201365</v>
      </c>
      <c r="O83" s="393">
        <f t="shared" si="12"/>
        <v>201365</v>
      </c>
      <c r="P83" s="393">
        <f t="shared" si="12"/>
        <v>201365</v>
      </c>
      <c r="Q83" s="393">
        <f t="shared" si="12"/>
        <v>201365</v>
      </c>
      <c r="R83" s="394">
        <f>SUM(F83:Q83)</f>
        <v>2276943</v>
      </c>
    </row>
    <row r="84" spans="1:18">
      <c r="B84" s="48"/>
      <c r="D84" s="289" t="s">
        <v>629</v>
      </c>
      <c r="E84" s="289"/>
      <c r="F84" s="291">
        <f>F$72+F$76+F$80</f>
        <v>164479</v>
      </c>
      <c r="G84" s="291">
        <f t="shared" ref="G84:Q84" si="13">G$72+G$76+G$80</f>
        <v>164479</v>
      </c>
      <c r="H84" s="291">
        <f t="shared" si="13"/>
        <v>164479</v>
      </c>
      <c r="I84" s="291">
        <f t="shared" si="13"/>
        <v>164479</v>
      </c>
      <c r="J84" s="291">
        <f t="shared" si="13"/>
        <v>164479</v>
      </c>
      <c r="K84" s="291">
        <f t="shared" si="13"/>
        <v>164479</v>
      </c>
      <c r="L84" s="291">
        <f t="shared" si="13"/>
        <v>164479</v>
      </c>
      <c r="M84" s="291">
        <f t="shared" si="13"/>
        <v>164479</v>
      </c>
      <c r="N84" s="291">
        <f t="shared" si="13"/>
        <v>164479</v>
      </c>
      <c r="O84" s="291">
        <f t="shared" si="13"/>
        <v>164479</v>
      </c>
      <c r="P84" s="291">
        <f t="shared" si="13"/>
        <v>164479</v>
      </c>
      <c r="Q84" s="291">
        <f t="shared" si="13"/>
        <v>164479</v>
      </c>
      <c r="R84" s="378">
        <f>SUM(F84:Q84)</f>
        <v>1973748</v>
      </c>
    </row>
    <row r="85" spans="1:18">
      <c r="B85" s="4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67">
        <f>R72+R76+R80</f>
        <v>1973748</v>
      </c>
    </row>
    <row r="86" spans="1:18">
      <c r="B86" s="292" t="s">
        <v>613</v>
      </c>
      <c r="C86" s="43">
        <v>46244</v>
      </c>
      <c r="E86" s="16"/>
      <c r="F86" s="3">
        <f>$G$55</f>
        <v>76752</v>
      </c>
      <c r="G86" s="3">
        <f t="shared" ref="G86:L86" si="14">$G$55</f>
        <v>76752</v>
      </c>
      <c r="H86" s="3">
        <f t="shared" si="14"/>
        <v>76752</v>
      </c>
      <c r="I86" s="3">
        <f t="shared" si="14"/>
        <v>76752</v>
      </c>
      <c r="J86" s="3">
        <f t="shared" si="14"/>
        <v>76752</v>
      </c>
      <c r="K86" s="3">
        <f t="shared" si="14"/>
        <v>76752</v>
      </c>
      <c r="L86" s="3">
        <f t="shared" si="14"/>
        <v>76752</v>
      </c>
      <c r="M86" s="3">
        <f>$G$55*1.05</f>
        <v>80589.600000000006</v>
      </c>
      <c r="N86" s="3">
        <f t="shared" ref="N86:Q86" si="15">$G$55*1.05</f>
        <v>80589.600000000006</v>
      </c>
      <c r="O86" s="3">
        <f t="shared" si="15"/>
        <v>80589.600000000006</v>
      </c>
      <c r="P86" s="3">
        <f t="shared" si="15"/>
        <v>80589.600000000006</v>
      </c>
      <c r="Q86" s="3">
        <f t="shared" si="15"/>
        <v>80589.600000000006</v>
      </c>
      <c r="R86" s="67">
        <f>SUM(F86:Q86)</f>
        <v>940211.99999999988</v>
      </c>
    </row>
    <row r="87" spans="1:18">
      <c r="B87" s="292" t="s">
        <v>615</v>
      </c>
      <c r="C87" s="43">
        <v>46001</v>
      </c>
      <c r="E87" s="16"/>
      <c r="F87" s="3">
        <f>$G$56</f>
        <v>101190</v>
      </c>
      <c r="G87" s="3">
        <f t="shared" ref="G87:Q87" si="16">$G$56</f>
        <v>101190</v>
      </c>
      <c r="H87" s="3">
        <f t="shared" si="16"/>
        <v>101190</v>
      </c>
      <c r="I87" s="3">
        <f t="shared" si="16"/>
        <v>101190</v>
      </c>
      <c r="J87" s="3">
        <f t="shared" si="16"/>
        <v>101190</v>
      </c>
      <c r="K87" s="3">
        <f t="shared" si="16"/>
        <v>101190</v>
      </c>
      <c r="L87" s="3">
        <f t="shared" si="16"/>
        <v>101190</v>
      </c>
      <c r="M87" s="3">
        <f t="shared" si="16"/>
        <v>101190</v>
      </c>
      <c r="N87" s="3">
        <f t="shared" si="16"/>
        <v>101190</v>
      </c>
      <c r="O87" s="3">
        <f t="shared" si="16"/>
        <v>101190</v>
      </c>
      <c r="P87" s="3">
        <f t="shared" si="16"/>
        <v>101190</v>
      </c>
      <c r="Q87" s="3">
        <f t="shared" si="16"/>
        <v>101190</v>
      </c>
      <c r="R87" s="67">
        <f>SUM(F87:Q87)</f>
        <v>1214280</v>
      </c>
    </row>
    <row r="88" spans="1:18">
      <c r="B88" s="48" t="s">
        <v>616</v>
      </c>
      <c r="C88" s="43">
        <v>46161</v>
      </c>
      <c r="E88" s="16"/>
      <c r="F88" s="3">
        <f>$G$57</f>
        <v>7056</v>
      </c>
      <c r="G88" s="3">
        <f t="shared" ref="G88:I88" si="17">$G$57</f>
        <v>7056</v>
      </c>
      <c r="H88" s="3">
        <f t="shared" si="17"/>
        <v>7056</v>
      </c>
      <c r="I88" s="3">
        <f t="shared" si="17"/>
        <v>7056</v>
      </c>
      <c r="J88" s="3">
        <f>$G$57*1.05</f>
        <v>7408.8</v>
      </c>
      <c r="K88" s="3">
        <f t="shared" ref="K88:Q88" si="18">$G$57*1.05</f>
        <v>7408.8</v>
      </c>
      <c r="L88" s="3">
        <f t="shared" si="18"/>
        <v>7408.8</v>
      </c>
      <c r="M88" s="3">
        <f t="shared" si="18"/>
        <v>7408.8</v>
      </c>
      <c r="N88" s="3">
        <f t="shared" si="18"/>
        <v>7408.8</v>
      </c>
      <c r="O88" s="3">
        <f t="shared" si="18"/>
        <v>7408.8</v>
      </c>
      <c r="P88" s="3">
        <f t="shared" si="18"/>
        <v>7408.8</v>
      </c>
      <c r="Q88" s="3">
        <f t="shared" si="18"/>
        <v>7408.8</v>
      </c>
      <c r="R88" s="67">
        <f>SUM(F88:Q88)</f>
        <v>87494.400000000023</v>
      </c>
    </row>
    <row r="89" spans="1:18">
      <c r="B89" s="48" t="s">
        <v>618</v>
      </c>
      <c r="C89" s="43">
        <v>46182</v>
      </c>
      <c r="E89" s="1"/>
      <c r="F89" s="3">
        <f>$G$58</f>
        <v>19175</v>
      </c>
      <c r="G89" s="3">
        <f t="shared" ref="G89:J89" si="19">$G$58</f>
        <v>19175</v>
      </c>
      <c r="H89" s="3">
        <f t="shared" si="19"/>
        <v>19175</v>
      </c>
      <c r="I89" s="3">
        <f t="shared" si="19"/>
        <v>19175</v>
      </c>
      <c r="J89" s="3">
        <f t="shared" si="19"/>
        <v>19175</v>
      </c>
      <c r="K89" s="3">
        <f>$G$58*1.05</f>
        <v>20133.75</v>
      </c>
      <c r="L89" s="3">
        <f t="shared" ref="L89:Q89" si="20">$G$58*1.05</f>
        <v>20133.75</v>
      </c>
      <c r="M89" s="3">
        <f t="shared" si="20"/>
        <v>20133.75</v>
      </c>
      <c r="N89" s="3">
        <f t="shared" si="20"/>
        <v>20133.75</v>
      </c>
      <c r="O89" s="3">
        <f t="shared" si="20"/>
        <v>20133.75</v>
      </c>
      <c r="P89" s="3">
        <f t="shared" si="20"/>
        <v>20133.75</v>
      </c>
      <c r="Q89" s="3">
        <f t="shared" si="20"/>
        <v>20133.75</v>
      </c>
      <c r="R89" s="67">
        <f>SUM(F89:Q89)</f>
        <v>236811.25</v>
      </c>
    </row>
    <row r="90" spans="1:18" ht="18.600000000000001" thickBot="1">
      <c r="B90" s="293"/>
      <c r="C90" s="51"/>
      <c r="D90" s="294" t="s">
        <v>632</v>
      </c>
      <c r="E90" s="294"/>
      <c r="F90" s="295">
        <f>SUM(F$86:F$89)</f>
        <v>204173</v>
      </c>
      <c r="G90" s="295">
        <f t="shared" ref="G90:Q90" si="21">SUM(G$86:G$89)</f>
        <v>204173</v>
      </c>
      <c r="H90" s="295">
        <f t="shared" si="21"/>
        <v>204173</v>
      </c>
      <c r="I90" s="295">
        <f t="shared" si="21"/>
        <v>204173</v>
      </c>
      <c r="J90" s="295">
        <f t="shared" si="21"/>
        <v>204525.8</v>
      </c>
      <c r="K90" s="295">
        <f t="shared" si="21"/>
        <v>205484.55</v>
      </c>
      <c r="L90" s="295">
        <f t="shared" si="21"/>
        <v>205484.55</v>
      </c>
      <c r="M90" s="295">
        <f t="shared" si="21"/>
        <v>209322.15</v>
      </c>
      <c r="N90" s="295">
        <f t="shared" si="21"/>
        <v>209322.15</v>
      </c>
      <c r="O90" s="295">
        <f t="shared" si="21"/>
        <v>209322.15</v>
      </c>
      <c r="P90" s="295">
        <f t="shared" si="21"/>
        <v>209322.15</v>
      </c>
      <c r="Q90" s="295">
        <f t="shared" si="21"/>
        <v>209322.15</v>
      </c>
      <c r="R90" s="379">
        <f>SUM(F90:Q90)</f>
        <v>2478797.65</v>
      </c>
    </row>
    <row r="91" spans="1:18" ht="18.600000000000001" thickTop="1"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8.600000000000001" thickBot="1">
      <c r="J93" s="1"/>
    </row>
    <row r="94" spans="1:18" ht="18.600000000000001" thickTop="1">
      <c r="B94" s="44"/>
      <c r="C94" s="45"/>
      <c r="D94" s="45"/>
      <c r="E94" s="45" t="s">
        <v>633</v>
      </c>
      <c r="F94" s="45" t="s">
        <v>633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54"/>
    </row>
    <row r="95" spans="1:18">
      <c r="A95" t="s">
        <v>634</v>
      </c>
      <c r="B95" s="48"/>
      <c r="E95" t="s">
        <v>127</v>
      </c>
      <c r="F95" t="s">
        <v>128</v>
      </c>
      <c r="G95" t="s">
        <v>129</v>
      </c>
      <c r="H95" t="s">
        <v>130</v>
      </c>
      <c r="I95" t="s">
        <v>131</v>
      </c>
      <c r="J95" t="s">
        <v>132</v>
      </c>
      <c r="K95" t="s">
        <v>133</v>
      </c>
      <c r="L95" t="s">
        <v>134</v>
      </c>
      <c r="M95" t="s">
        <v>135</v>
      </c>
      <c r="N95" t="s">
        <v>136</v>
      </c>
      <c r="O95" t="s">
        <v>137</v>
      </c>
      <c r="P95" t="s">
        <v>138</v>
      </c>
      <c r="Q95" s="55"/>
    </row>
    <row r="96" spans="1:18">
      <c r="B96" s="48" t="s">
        <v>140</v>
      </c>
      <c r="E96" s="18">
        <v>1150000</v>
      </c>
      <c r="F96" s="18">
        <v>1150000</v>
      </c>
      <c r="G96" s="18">
        <v>1150000</v>
      </c>
      <c r="H96" s="18">
        <v>1150000</v>
      </c>
      <c r="I96" s="18">
        <v>1150000</v>
      </c>
      <c r="J96" s="18">
        <v>1150000</v>
      </c>
      <c r="K96" s="18">
        <v>1150000</v>
      </c>
      <c r="L96" s="18">
        <v>1150000</v>
      </c>
      <c r="M96" s="18">
        <v>1150000</v>
      </c>
      <c r="N96" s="18">
        <v>1150000</v>
      </c>
      <c r="O96" s="18">
        <v>1150000</v>
      </c>
      <c r="P96" s="18">
        <v>1150000</v>
      </c>
      <c r="Q96" s="67">
        <f>SUM(E96:P96)</f>
        <v>13800000</v>
      </c>
    </row>
    <row r="97" spans="1:17">
      <c r="B97" s="185" t="s">
        <v>635</v>
      </c>
      <c r="C97" s="271"/>
      <c r="D97" s="186"/>
      <c r="E97" s="269">
        <v>1035053</v>
      </c>
      <c r="F97" s="134">
        <v>1213125</v>
      </c>
      <c r="G97" s="134">
        <v>1360523</v>
      </c>
      <c r="H97" s="297">
        <v>1236518</v>
      </c>
      <c r="I97" s="297">
        <v>1236518</v>
      </c>
      <c r="J97" s="297">
        <v>1236854</v>
      </c>
      <c r="K97" s="297">
        <v>1237764</v>
      </c>
      <c r="L97" s="134">
        <v>1238674</v>
      </c>
      <c r="M97" s="134">
        <v>1241977</v>
      </c>
      <c r="N97" s="265">
        <v>1150000</v>
      </c>
      <c r="O97" s="265">
        <v>1150000</v>
      </c>
      <c r="P97" s="266">
        <v>1150000</v>
      </c>
      <c r="Q97" s="187">
        <f>SUM(E97:P97)</f>
        <v>14487006</v>
      </c>
    </row>
    <row r="98" spans="1:17">
      <c r="J98" s="1"/>
    </row>
    <row r="99" spans="1:17">
      <c r="J99" s="1"/>
    </row>
    <row r="100" spans="1:17">
      <c r="J100" s="1"/>
    </row>
    <row r="101" spans="1:17">
      <c r="J101" s="1"/>
    </row>
    <row r="102" spans="1:17" ht="18.600000000000001" thickBot="1"/>
    <row r="103" spans="1:17" ht="18.600000000000001" thickTop="1">
      <c r="B103" s="44"/>
      <c r="C103" s="45"/>
      <c r="D103" s="45"/>
      <c r="E103" s="45" t="s">
        <v>633</v>
      </c>
      <c r="F103" s="45" t="s">
        <v>633</v>
      </c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54"/>
    </row>
    <row r="104" spans="1:17">
      <c r="A104" t="s">
        <v>147</v>
      </c>
      <c r="B104" s="48"/>
      <c r="E104" t="s">
        <v>127</v>
      </c>
      <c r="F104" t="s">
        <v>128</v>
      </c>
      <c r="G104" t="s">
        <v>129</v>
      </c>
      <c r="H104" t="s">
        <v>130</v>
      </c>
      <c r="I104" s="65" t="s">
        <v>131</v>
      </c>
      <c r="J104" s="65" t="s">
        <v>132</v>
      </c>
      <c r="K104" t="s">
        <v>133</v>
      </c>
      <c r="L104" s="65" t="s">
        <v>134</v>
      </c>
      <c r="M104" t="s">
        <v>135</v>
      </c>
      <c r="N104" t="s">
        <v>136</v>
      </c>
      <c r="O104" t="s">
        <v>137</v>
      </c>
      <c r="P104" t="s">
        <v>138</v>
      </c>
      <c r="Q104" s="55"/>
    </row>
    <row r="105" spans="1:17">
      <c r="B105" s="48" t="s">
        <v>140</v>
      </c>
      <c r="E105" s="31">
        <v>900000</v>
      </c>
      <c r="F105" s="31">
        <v>900000</v>
      </c>
      <c r="G105" s="31">
        <v>900000</v>
      </c>
      <c r="H105" s="31">
        <v>900000</v>
      </c>
      <c r="I105" s="31">
        <v>900000</v>
      </c>
      <c r="J105" s="31">
        <v>900000</v>
      </c>
      <c r="K105" s="31">
        <v>900000</v>
      </c>
      <c r="L105" s="31">
        <v>900000</v>
      </c>
      <c r="M105" s="31">
        <v>900000</v>
      </c>
      <c r="N105" s="31">
        <v>900000</v>
      </c>
      <c r="O105" s="31">
        <v>900000</v>
      </c>
      <c r="P105" s="31">
        <v>900000</v>
      </c>
      <c r="Q105" s="67">
        <f>SUM(E105:P105)</f>
        <v>10800000</v>
      </c>
    </row>
    <row r="106" spans="1:17">
      <c r="B106" s="68" t="s">
        <v>635</v>
      </c>
      <c r="C106" s="42"/>
      <c r="D106" s="38">
        <v>7623</v>
      </c>
      <c r="E106" s="31">
        <v>61</v>
      </c>
      <c r="F106" s="31">
        <v>61</v>
      </c>
      <c r="G106" s="31">
        <v>61</v>
      </c>
      <c r="H106" s="31">
        <v>63</v>
      </c>
      <c r="I106" s="31">
        <v>63</v>
      </c>
      <c r="J106" s="31">
        <v>63</v>
      </c>
      <c r="K106" s="31">
        <v>63</v>
      </c>
      <c r="L106" s="31">
        <v>63</v>
      </c>
      <c r="M106" s="31">
        <v>63</v>
      </c>
      <c r="N106" s="31">
        <v>63</v>
      </c>
      <c r="O106" s="31">
        <v>63</v>
      </c>
      <c r="P106" s="31">
        <v>63</v>
      </c>
      <c r="Q106" s="67"/>
    </row>
    <row r="107" spans="1:17">
      <c r="B107" s="68" t="s">
        <v>636</v>
      </c>
      <c r="C107" s="42"/>
      <c r="D107" s="36">
        <v>938</v>
      </c>
      <c r="E107" s="31">
        <v>325</v>
      </c>
      <c r="F107" s="31">
        <v>325</v>
      </c>
      <c r="G107" s="31">
        <v>365</v>
      </c>
      <c r="H107" s="31">
        <v>365</v>
      </c>
      <c r="I107" s="31">
        <v>365</v>
      </c>
      <c r="J107" s="31">
        <v>365</v>
      </c>
      <c r="K107" s="31">
        <v>365</v>
      </c>
      <c r="L107" s="31">
        <v>355</v>
      </c>
      <c r="M107" s="31">
        <v>355</v>
      </c>
      <c r="N107" s="31">
        <v>355</v>
      </c>
      <c r="O107" s="31">
        <v>355</v>
      </c>
      <c r="P107" s="31">
        <v>355</v>
      </c>
      <c r="Q107" s="67"/>
    </row>
    <row r="108" spans="1:17">
      <c r="B108" s="68"/>
      <c r="C108" s="42"/>
      <c r="D108" s="31">
        <v>1124</v>
      </c>
      <c r="E108" s="31"/>
      <c r="F108" s="31"/>
      <c r="G108" s="31"/>
      <c r="H108" s="31"/>
      <c r="I108" s="31"/>
      <c r="J108" s="31"/>
      <c r="K108" s="31"/>
      <c r="L108" s="31">
        <v>10</v>
      </c>
      <c r="M108" s="31">
        <v>10</v>
      </c>
      <c r="N108" s="31">
        <v>10</v>
      </c>
      <c r="O108" s="31">
        <v>10</v>
      </c>
      <c r="P108" s="31">
        <v>10</v>
      </c>
      <c r="Q108" s="67"/>
    </row>
    <row r="109" spans="1:17">
      <c r="B109" s="68"/>
      <c r="C109" s="42"/>
      <c r="D109" s="31"/>
      <c r="E109" s="31">
        <f>E$106*$D$106+E$107*$D$107</f>
        <v>769853</v>
      </c>
      <c r="F109" s="31">
        <f t="shared" ref="F109:K109" si="22">F$106*$D$106+F$107*$D$107</f>
        <v>769853</v>
      </c>
      <c r="G109" s="31">
        <f t="shared" si="22"/>
        <v>807373</v>
      </c>
      <c r="H109" s="31">
        <f t="shared" si="22"/>
        <v>822619</v>
      </c>
      <c r="I109" s="31">
        <f t="shared" si="22"/>
        <v>822619</v>
      </c>
      <c r="J109" s="31">
        <f t="shared" si="22"/>
        <v>822619</v>
      </c>
      <c r="K109" s="31">
        <f t="shared" si="22"/>
        <v>822619</v>
      </c>
      <c r="L109" s="31">
        <f>L$106*$D$106+L$107*$D$107+L$108*$D$108</f>
        <v>824479</v>
      </c>
      <c r="M109" s="31">
        <f>M$106*$D$106+M$107*$D$107+M$108*$D$108</f>
        <v>824479</v>
      </c>
      <c r="N109" s="31">
        <f>N$106*$D$106+N$107*$D$107+N$108*$D$108</f>
        <v>824479</v>
      </c>
      <c r="O109" s="31">
        <f>O$106*$D$106+O$107*$D$107+O$108*$D$108</f>
        <v>824479</v>
      </c>
      <c r="P109" s="31">
        <f>P$106*$D$106+P$107*$D$107+P$108*$D$108</f>
        <v>824479</v>
      </c>
      <c r="Q109" s="67"/>
    </row>
    <row r="110" spans="1:17">
      <c r="B110" s="69" t="s">
        <v>637</v>
      </c>
      <c r="C110" s="31"/>
      <c r="E110" s="31">
        <f>M59</f>
        <v>81809</v>
      </c>
      <c r="F110" s="31">
        <f>M59</f>
        <v>81809</v>
      </c>
      <c r="G110" s="31">
        <f>M59</f>
        <v>81809</v>
      </c>
      <c r="H110" s="31">
        <f>M59</f>
        <v>81809</v>
      </c>
      <c r="I110" s="31">
        <f t="shared" ref="I110:P110" si="23">$P$59</f>
        <v>98084</v>
      </c>
      <c r="J110" s="31">
        <f t="shared" si="23"/>
        <v>98084</v>
      </c>
      <c r="K110" s="31">
        <f t="shared" si="23"/>
        <v>98084</v>
      </c>
      <c r="L110" s="31">
        <f t="shared" si="23"/>
        <v>98084</v>
      </c>
      <c r="M110" s="31">
        <f t="shared" si="23"/>
        <v>98084</v>
      </c>
      <c r="N110" s="31">
        <f t="shared" si="23"/>
        <v>98084</v>
      </c>
      <c r="O110" s="31">
        <f t="shared" si="23"/>
        <v>98084</v>
      </c>
      <c r="P110" s="31">
        <f t="shared" si="23"/>
        <v>98084</v>
      </c>
      <c r="Q110" s="67"/>
    </row>
    <row r="111" spans="1:17">
      <c r="B111" s="48" t="s">
        <v>141</v>
      </c>
      <c r="E111" s="3">
        <f>E$109+E$110</f>
        <v>851662</v>
      </c>
      <c r="F111" s="3">
        <f t="shared" ref="F111:P111" si="24">F$109+F$110</f>
        <v>851662</v>
      </c>
      <c r="G111" s="3">
        <f t="shared" si="24"/>
        <v>889182</v>
      </c>
      <c r="H111" s="3">
        <f t="shared" si="24"/>
        <v>904428</v>
      </c>
      <c r="I111" s="3">
        <f t="shared" si="24"/>
        <v>920703</v>
      </c>
      <c r="J111" s="3">
        <f t="shared" si="24"/>
        <v>920703</v>
      </c>
      <c r="K111" s="3">
        <f t="shared" si="24"/>
        <v>920703</v>
      </c>
      <c r="L111" s="3">
        <f t="shared" si="24"/>
        <v>922563</v>
      </c>
      <c r="M111" s="3">
        <f t="shared" si="24"/>
        <v>922563</v>
      </c>
      <c r="N111" s="3">
        <f t="shared" si="24"/>
        <v>922563</v>
      </c>
      <c r="O111" s="3">
        <f t="shared" si="24"/>
        <v>922563</v>
      </c>
      <c r="P111" s="3">
        <f t="shared" si="24"/>
        <v>922563</v>
      </c>
      <c r="Q111" s="72">
        <f>SUM(E111:P111)</f>
        <v>10871858</v>
      </c>
    </row>
    <row r="112" spans="1:17" ht="18.600000000000001" thickBot="1">
      <c r="B112" s="70" t="s">
        <v>149</v>
      </c>
      <c r="C112" s="272"/>
      <c r="D112" s="51"/>
      <c r="E112" s="71">
        <f t="shared" ref="E112:Q112" si="25">E$111-E$105</f>
        <v>-48338</v>
      </c>
      <c r="F112" s="71">
        <f t="shared" si="25"/>
        <v>-48338</v>
      </c>
      <c r="G112" s="71">
        <f t="shared" si="25"/>
        <v>-10818</v>
      </c>
      <c r="H112" s="71">
        <f t="shared" si="25"/>
        <v>4428</v>
      </c>
      <c r="I112" s="71">
        <f t="shared" si="25"/>
        <v>20703</v>
      </c>
      <c r="J112" s="71">
        <f t="shared" si="25"/>
        <v>20703</v>
      </c>
      <c r="K112" s="71">
        <f t="shared" si="25"/>
        <v>20703</v>
      </c>
      <c r="L112" s="71">
        <f t="shared" si="25"/>
        <v>22563</v>
      </c>
      <c r="M112" s="71">
        <f t="shared" si="25"/>
        <v>22563</v>
      </c>
      <c r="N112" s="71">
        <f t="shared" si="25"/>
        <v>22563</v>
      </c>
      <c r="O112" s="71">
        <f t="shared" si="25"/>
        <v>22563</v>
      </c>
      <c r="P112" s="71">
        <f t="shared" si="25"/>
        <v>22563</v>
      </c>
      <c r="Q112" s="71">
        <f t="shared" si="25"/>
        <v>71858</v>
      </c>
    </row>
    <row r="113" ht="18.600000000000001" thickTop="1"/>
  </sheetData>
  <mergeCells count="1">
    <mergeCell ref="N47:R47"/>
  </mergeCells>
  <phoneticPr fontId="6"/>
  <hyperlinks>
    <hyperlink ref="I26" r:id="rId1" display="../../../../../:p:/s/msteams_003612_758521/IQC7jvgeuc52T61MF6eV66INATfxP8cIn_kvp0bRmM7W1Og?e=pnxLjF" xr:uid="{BFAB4144-AFD7-4AC7-A37B-8F72298193E1}"/>
  </hyperlinks>
  <pageMargins left="0.7" right="0.7" top="0.75" bottom="0.75" header="0.3" footer="0.3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5D26-16CA-4F19-B248-F93184050078}">
  <sheetPr>
    <tabColor rgb="FFFFC000"/>
  </sheetPr>
  <dimension ref="A2:P24"/>
  <sheetViews>
    <sheetView zoomScale="70" zoomScaleNormal="70" workbookViewId="0">
      <selection activeCell="K20" sqref="K20"/>
    </sheetView>
  </sheetViews>
  <sheetFormatPr defaultRowHeight="18"/>
  <cols>
    <col min="1" max="1" width="12.75" customWidth="1"/>
    <col min="2" max="2" width="48.75" bestFit="1" customWidth="1"/>
    <col min="3" max="3" width="15.125" customWidth="1"/>
    <col min="4" max="4" width="17.25" bestFit="1" customWidth="1"/>
    <col min="5" max="5" width="11.25" customWidth="1"/>
    <col min="6" max="6" width="10.875" bestFit="1" customWidth="1"/>
    <col min="7" max="7" width="10.375" bestFit="1" customWidth="1"/>
    <col min="8" max="8" width="12.75" bestFit="1" customWidth="1"/>
    <col min="9" max="9" width="9.875" bestFit="1" customWidth="1"/>
    <col min="16" max="16" width="9.375" bestFit="1" customWidth="1"/>
  </cols>
  <sheetData>
    <row r="2" spans="1:16">
      <c r="C2" t="s">
        <v>377</v>
      </c>
      <c r="D2" t="s">
        <v>126</v>
      </c>
      <c r="E2" t="s">
        <v>328</v>
      </c>
      <c r="F2" t="s">
        <v>126</v>
      </c>
      <c r="G2" t="s">
        <v>192</v>
      </c>
      <c r="H2" t="s">
        <v>126</v>
      </c>
      <c r="I2" t="s">
        <v>192</v>
      </c>
      <c r="J2" t="s">
        <v>126</v>
      </c>
    </row>
    <row r="3" spans="1:16">
      <c r="B3" s="111" t="s">
        <v>638</v>
      </c>
      <c r="C3" s="2"/>
      <c r="D3" s="2">
        <v>200000</v>
      </c>
      <c r="E3" s="2"/>
      <c r="F3" s="2">
        <v>200000</v>
      </c>
      <c r="G3" s="2"/>
      <c r="H3" s="2">
        <v>200000</v>
      </c>
      <c r="I3" s="2"/>
      <c r="J3" s="2">
        <v>200000</v>
      </c>
    </row>
    <row r="4" spans="1:16">
      <c r="B4" s="43"/>
      <c r="C4" s="2"/>
      <c r="D4" s="2"/>
      <c r="E4" s="2"/>
      <c r="F4" s="2"/>
      <c r="G4" s="2"/>
      <c r="I4" s="2"/>
    </row>
    <row r="5" spans="1:16">
      <c r="B5" s="111"/>
      <c r="C5" s="2"/>
      <c r="D5" s="11"/>
      <c r="E5" t="s">
        <v>388</v>
      </c>
      <c r="G5" s="3" t="s">
        <v>639</v>
      </c>
      <c r="I5" s="3" t="s">
        <v>639</v>
      </c>
    </row>
    <row r="6" spans="1:16">
      <c r="E6" t="s">
        <v>126</v>
      </c>
      <c r="F6" s="2">
        <f>F3</f>
        <v>200000</v>
      </c>
      <c r="G6" s="1" t="s">
        <v>126</v>
      </c>
      <c r="H6" s="11">
        <f>H3</f>
        <v>200000</v>
      </c>
      <c r="I6" s="1" t="s">
        <v>126</v>
      </c>
      <c r="J6" s="26">
        <f>J3</f>
        <v>200000</v>
      </c>
    </row>
    <row r="7" spans="1:16">
      <c r="E7" t="s">
        <v>156</v>
      </c>
      <c r="F7" s="2">
        <f>F6*12</f>
        <v>2400000</v>
      </c>
      <c r="G7" s="3" t="s">
        <v>156</v>
      </c>
      <c r="H7" s="11">
        <f>H6*12</f>
        <v>2400000</v>
      </c>
      <c r="I7" s="3" t="s">
        <v>156</v>
      </c>
      <c r="J7" s="26">
        <f>J6*12</f>
        <v>2400000</v>
      </c>
    </row>
    <row r="8" spans="1:16">
      <c r="A8" t="s">
        <v>124</v>
      </c>
    </row>
    <row r="9" spans="1:16">
      <c r="A9" t="s">
        <v>640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</row>
    <row r="10" spans="1:16">
      <c r="B10" s="25" t="s">
        <v>140</v>
      </c>
      <c r="C10" s="25"/>
      <c r="D10" s="26">
        <f>$H$6</f>
        <v>200000</v>
      </c>
      <c r="E10" s="26">
        <f t="shared" ref="E10:O10" si="0">$H$6</f>
        <v>200000</v>
      </c>
      <c r="F10" s="26">
        <f t="shared" si="0"/>
        <v>200000</v>
      </c>
      <c r="G10" s="26">
        <f t="shared" si="0"/>
        <v>200000</v>
      </c>
      <c r="H10" s="26">
        <f t="shared" si="0"/>
        <v>200000</v>
      </c>
      <c r="I10" s="26">
        <f t="shared" si="0"/>
        <v>200000</v>
      </c>
      <c r="J10" s="26">
        <f t="shared" si="0"/>
        <v>200000</v>
      </c>
      <c r="K10" s="26">
        <f t="shared" si="0"/>
        <v>200000</v>
      </c>
      <c r="L10" s="26">
        <f t="shared" si="0"/>
        <v>200000</v>
      </c>
      <c r="M10" s="26">
        <f t="shared" si="0"/>
        <v>200000</v>
      </c>
      <c r="N10" s="26">
        <f t="shared" si="0"/>
        <v>200000</v>
      </c>
      <c r="O10" s="26">
        <f t="shared" si="0"/>
        <v>200000</v>
      </c>
      <c r="P10" s="26">
        <f>SUM(D10:O10)</f>
        <v>2400000</v>
      </c>
    </row>
    <row r="11" spans="1:16">
      <c r="B11" t="s">
        <v>141</v>
      </c>
      <c r="D11" s="269"/>
      <c r="E11" s="134"/>
      <c r="F11" s="134"/>
      <c r="G11" s="134"/>
      <c r="H11" s="134"/>
      <c r="I11" s="134"/>
      <c r="J11" s="134"/>
      <c r="K11" s="134"/>
      <c r="L11" s="134"/>
      <c r="M11" s="265"/>
      <c r="N11" s="265"/>
      <c r="O11" s="266"/>
      <c r="P11" s="3">
        <f>SUM(D11:O11)</f>
        <v>0</v>
      </c>
    </row>
    <row r="12" spans="1:16">
      <c r="B12" t="s">
        <v>149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t="s">
        <v>123</v>
      </c>
    </row>
    <row r="14" spans="1:16">
      <c r="A14" t="s">
        <v>640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 spans="1:16">
      <c r="B15" t="s">
        <v>140</v>
      </c>
      <c r="D15" s="11">
        <f>$H$6</f>
        <v>200000</v>
      </c>
      <c r="E15" s="11">
        <f t="shared" ref="E15:O15" si="1">$H$6</f>
        <v>200000</v>
      </c>
      <c r="F15" s="11">
        <f t="shared" si="1"/>
        <v>200000</v>
      </c>
      <c r="G15" s="11">
        <f t="shared" si="1"/>
        <v>200000</v>
      </c>
      <c r="H15" s="11">
        <f t="shared" si="1"/>
        <v>200000</v>
      </c>
      <c r="I15" s="11">
        <f t="shared" si="1"/>
        <v>200000</v>
      </c>
      <c r="J15" s="11">
        <f t="shared" si="1"/>
        <v>200000</v>
      </c>
      <c r="K15" s="11">
        <f t="shared" si="1"/>
        <v>200000</v>
      </c>
      <c r="L15" s="11">
        <f t="shared" si="1"/>
        <v>200000</v>
      </c>
      <c r="M15" s="11">
        <f t="shared" si="1"/>
        <v>200000</v>
      </c>
      <c r="N15" s="11">
        <f t="shared" si="1"/>
        <v>200000</v>
      </c>
      <c r="O15" s="11">
        <f t="shared" si="1"/>
        <v>200000</v>
      </c>
      <c r="P15" s="11">
        <f>SUM(D15:O15)</f>
        <v>2400000</v>
      </c>
    </row>
    <row r="16" spans="1:16">
      <c r="B16" t="s">
        <v>141</v>
      </c>
      <c r="D16" s="298">
        <v>200000</v>
      </c>
      <c r="E16" s="265">
        <v>200000</v>
      </c>
      <c r="F16" s="265">
        <v>200000</v>
      </c>
      <c r="G16" s="265">
        <v>200000</v>
      </c>
      <c r="H16" s="265">
        <v>200000</v>
      </c>
      <c r="I16" s="265">
        <v>200000</v>
      </c>
      <c r="J16" s="265">
        <v>337</v>
      </c>
      <c r="K16" s="265">
        <v>200000</v>
      </c>
      <c r="L16" s="265">
        <v>200000</v>
      </c>
      <c r="M16" s="265">
        <v>200000</v>
      </c>
      <c r="N16" s="265">
        <v>200000</v>
      </c>
      <c r="O16" s="266">
        <v>200000</v>
      </c>
      <c r="P16" s="3">
        <f>SUM(D16:O16)</f>
        <v>2200337</v>
      </c>
    </row>
    <row r="17" spans="1:16">
      <c r="B17" t="s">
        <v>149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t="s">
        <v>147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</row>
    <row r="21" spans="1:16">
      <c r="B21" t="s">
        <v>140</v>
      </c>
      <c r="D21" s="2">
        <v>200000</v>
      </c>
      <c r="E21" s="2">
        <v>200000</v>
      </c>
      <c r="F21" s="2">
        <v>200000</v>
      </c>
      <c r="G21" s="2">
        <v>200000</v>
      </c>
      <c r="H21" s="2">
        <v>200000</v>
      </c>
      <c r="I21" s="2">
        <v>200000</v>
      </c>
      <c r="J21" s="2">
        <v>200000</v>
      </c>
      <c r="K21" s="2">
        <v>200000</v>
      </c>
      <c r="L21" s="2">
        <v>200000</v>
      </c>
      <c r="M21" s="2">
        <v>200000</v>
      </c>
      <c r="N21" s="2">
        <v>200000</v>
      </c>
      <c r="O21" s="2">
        <v>200000</v>
      </c>
      <c r="P21" s="2">
        <f>SUM(D21:O21)</f>
        <v>2400000</v>
      </c>
    </row>
    <row r="22" spans="1:16">
      <c r="B22" t="s">
        <v>141</v>
      </c>
      <c r="D22" s="2">
        <v>200000</v>
      </c>
      <c r="E22" s="2">
        <v>200000</v>
      </c>
      <c r="F22" s="2">
        <v>200000</v>
      </c>
      <c r="G22" s="2">
        <v>200000</v>
      </c>
      <c r="H22" s="2">
        <v>200000</v>
      </c>
      <c r="I22" s="2">
        <v>200000</v>
      </c>
      <c r="J22" s="2">
        <v>200000</v>
      </c>
      <c r="K22" s="2">
        <v>200000</v>
      </c>
      <c r="L22" s="2">
        <v>200000</v>
      </c>
      <c r="M22" s="2">
        <v>200000</v>
      </c>
      <c r="N22" s="2">
        <v>200000</v>
      </c>
      <c r="O22" s="2">
        <v>200000</v>
      </c>
      <c r="P22" s="3">
        <f>SUM(D22:O22)</f>
        <v>2400000</v>
      </c>
    </row>
    <row r="23" spans="1:16">
      <c r="B23" t="s">
        <v>149</v>
      </c>
      <c r="D23" s="3">
        <f>D$21-D$22</f>
        <v>0</v>
      </c>
      <c r="E23" s="3">
        <f t="shared" ref="E23:O23" si="2">E$21-E$22</f>
        <v>0</v>
      </c>
      <c r="F23" s="3">
        <f t="shared" si="2"/>
        <v>0</v>
      </c>
      <c r="G23" s="3">
        <f t="shared" si="2"/>
        <v>0</v>
      </c>
      <c r="H23" s="3">
        <f t="shared" si="2"/>
        <v>0</v>
      </c>
      <c r="I23" s="3">
        <f t="shared" si="2"/>
        <v>0</v>
      </c>
      <c r="J23" s="3">
        <f t="shared" si="2"/>
        <v>0</v>
      </c>
      <c r="K23" s="3">
        <f t="shared" si="2"/>
        <v>0</v>
      </c>
      <c r="L23" s="3">
        <f t="shared" si="2"/>
        <v>0</v>
      </c>
      <c r="M23" s="3">
        <f t="shared" si="2"/>
        <v>0</v>
      </c>
      <c r="N23" s="3">
        <f t="shared" si="2"/>
        <v>0</v>
      </c>
      <c r="O23" s="3">
        <f t="shared" si="2"/>
        <v>0</v>
      </c>
      <c r="P23" s="3">
        <f>P21-P22</f>
        <v>0</v>
      </c>
    </row>
    <row r="24" spans="1:16">
      <c r="P24" s="3"/>
    </row>
  </sheetData>
  <phoneticPr fontId="6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9FA-63A0-49C6-92E7-4AE17911F0DB}">
  <sheetPr codeName="Sheet32">
    <tabColor rgb="FFFFC000"/>
  </sheetPr>
  <dimension ref="A4:P19"/>
  <sheetViews>
    <sheetView zoomScale="85" zoomScaleNormal="85" workbookViewId="0">
      <selection activeCell="K20" sqref="K20"/>
    </sheetView>
  </sheetViews>
  <sheetFormatPr defaultRowHeight="18"/>
  <cols>
    <col min="1" max="1" width="8.625" customWidth="1"/>
    <col min="2" max="2" width="5" bestFit="1" customWidth="1"/>
    <col min="3" max="3" width="15.125" customWidth="1"/>
    <col min="4" max="4" width="11" bestFit="1" customWidth="1"/>
    <col min="5" max="5" width="12.625" customWidth="1"/>
    <col min="6" max="6" width="15.25" customWidth="1"/>
    <col min="7" max="7" width="14.25" customWidth="1"/>
    <col min="8" max="15" width="10.75" customWidth="1"/>
    <col min="16" max="16" width="9.375" bestFit="1" customWidth="1"/>
  </cols>
  <sheetData>
    <row r="4" spans="1:16">
      <c r="D4" s="11" t="s">
        <v>528</v>
      </c>
      <c r="F4" t="s">
        <v>389</v>
      </c>
      <c r="H4" s="25" t="s">
        <v>420</v>
      </c>
    </row>
    <row r="5" spans="1:16">
      <c r="B5" t="s">
        <v>156</v>
      </c>
      <c r="C5" s="2"/>
      <c r="D5" s="11" t="s">
        <v>156</v>
      </c>
      <c r="E5" s="11" t="s">
        <v>126</v>
      </c>
      <c r="F5" s="11" t="s">
        <v>156</v>
      </c>
      <c r="G5" s="11" t="s">
        <v>126</v>
      </c>
      <c r="H5" s="11" t="s">
        <v>156</v>
      </c>
      <c r="I5" s="11" t="s">
        <v>126</v>
      </c>
    </row>
    <row r="6" spans="1:16">
      <c r="B6" t="s">
        <v>126</v>
      </c>
      <c r="C6" s="2"/>
      <c r="D6" s="11">
        <v>500000</v>
      </c>
      <c r="E6" s="11"/>
      <c r="F6" s="11">
        <v>500000</v>
      </c>
      <c r="G6" s="11">
        <f>F6/12</f>
        <v>41666.666666666664</v>
      </c>
      <c r="H6" s="11">
        <v>500000</v>
      </c>
      <c r="I6" s="26">
        <f>H6/12</f>
        <v>41666.666666666664</v>
      </c>
    </row>
    <row r="7" spans="1:16">
      <c r="G7" s="1">
        <v>42000</v>
      </c>
      <c r="I7" s="27">
        <v>42000</v>
      </c>
    </row>
    <row r="10" spans="1:16">
      <c r="A10" t="s">
        <v>420</v>
      </c>
      <c r="D10" t="s">
        <v>127</v>
      </c>
      <c r="E10" t="s">
        <v>159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</row>
    <row r="11" spans="1:16">
      <c r="A11" s="119" t="s">
        <v>641</v>
      </c>
      <c r="B11" s="120"/>
      <c r="C11" s="120" t="s">
        <v>140</v>
      </c>
      <c r="D11" s="121">
        <f>$G$7</f>
        <v>42000</v>
      </c>
      <c r="E11" s="121">
        <f t="shared" ref="E11:O11" si="0">$G$7</f>
        <v>42000</v>
      </c>
      <c r="F11" s="121">
        <f t="shared" si="0"/>
        <v>42000</v>
      </c>
      <c r="G11" s="121">
        <f t="shared" si="0"/>
        <v>42000</v>
      </c>
      <c r="H11" s="121">
        <f t="shared" si="0"/>
        <v>42000</v>
      </c>
      <c r="I11" s="121">
        <f t="shared" si="0"/>
        <v>42000</v>
      </c>
      <c r="J11" s="121">
        <f t="shared" si="0"/>
        <v>42000</v>
      </c>
      <c r="K11" s="121">
        <f t="shared" si="0"/>
        <v>42000</v>
      </c>
      <c r="L11" s="121">
        <f t="shared" si="0"/>
        <v>42000</v>
      </c>
      <c r="M11" s="121">
        <f t="shared" si="0"/>
        <v>42000</v>
      </c>
      <c r="N11" s="121">
        <f t="shared" si="0"/>
        <v>42000</v>
      </c>
      <c r="O11" s="121">
        <f t="shared" si="0"/>
        <v>42000</v>
      </c>
      <c r="P11" s="3">
        <f>SUM(D11:O11)</f>
        <v>504000</v>
      </c>
    </row>
    <row r="12" spans="1:16">
      <c r="P12" s="235">
        <f>SUM(D12:O12)</f>
        <v>0</v>
      </c>
    </row>
    <row r="15" spans="1:16">
      <c r="A15" t="s">
        <v>420</v>
      </c>
      <c r="D15" t="s">
        <v>127</v>
      </c>
      <c r="E15" t="s">
        <v>159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137</v>
      </c>
      <c r="O15" t="s">
        <v>138</v>
      </c>
      <c r="P15" t="s">
        <v>139</v>
      </c>
    </row>
    <row r="16" spans="1:16">
      <c r="A16" s="253" t="s">
        <v>641</v>
      </c>
      <c r="B16" s="111"/>
      <c r="C16" s="111" t="s">
        <v>140</v>
      </c>
      <c r="D16" s="299">
        <f>$G$7</f>
        <v>42000</v>
      </c>
      <c r="E16" s="299">
        <f t="shared" ref="E16:O16" si="1">$G$7</f>
        <v>42000</v>
      </c>
      <c r="F16" s="299">
        <f t="shared" si="1"/>
        <v>42000</v>
      </c>
      <c r="G16" s="299">
        <f t="shared" si="1"/>
        <v>42000</v>
      </c>
      <c r="H16" s="299">
        <f t="shared" si="1"/>
        <v>42000</v>
      </c>
      <c r="I16" s="299">
        <f t="shared" si="1"/>
        <v>42000</v>
      </c>
      <c r="J16" s="299">
        <f t="shared" si="1"/>
        <v>42000</v>
      </c>
      <c r="K16" s="299">
        <f t="shared" si="1"/>
        <v>42000</v>
      </c>
      <c r="L16" s="299">
        <f t="shared" si="1"/>
        <v>42000</v>
      </c>
      <c r="M16" s="299">
        <f t="shared" si="1"/>
        <v>42000</v>
      </c>
      <c r="N16" s="299">
        <f t="shared" si="1"/>
        <v>42000</v>
      </c>
      <c r="O16" s="299">
        <f t="shared" si="1"/>
        <v>42000</v>
      </c>
      <c r="P16" s="3">
        <f>SUM(D16:O16)</f>
        <v>504000</v>
      </c>
    </row>
    <row r="17" spans="3:16"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35">
        <f>SUM(D17:O17)</f>
        <v>0</v>
      </c>
    </row>
    <row r="19" spans="3:16">
      <c r="C19" s="10"/>
    </row>
  </sheetData>
  <phoneticPr fontId="6"/>
  <pageMargins left="0.7" right="0.7" top="0.75" bottom="0.75" header="0.3" footer="0.3"/>
  <drawing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A477-C0FE-480E-AFE6-7892A004FBE6}">
  <sheetPr codeName="Sheet36">
    <tabColor rgb="FFFFC000"/>
  </sheetPr>
  <dimension ref="A5:O22"/>
  <sheetViews>
    <sheetView topLeftCell="A4" zoomScale="85" zoomScaleNormal="85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5" spans="1:15">
      <c r="D5" t="s">
        <v>147</v>
      </c>
      <c r="H5" t="s">
        <v>123</v>
      </c>
      <c r="K5" t="s">
        <v>124</v>
      </c>
    </row>
    <row r="6" spans="1:15">
      <c r="D6" t="s">
        <v>152</v>
      </c>
      <c r="E6" t="s">
        <v>153</v>
      </c>
      <c r="H6" t="s">
        <v>152</v>
      </c>
      <c r="I6" t="s">
        <v>153</v>
      </c>
      <c r="K6" t="s">
        <v>152</v>
      </c>
      <c r="L6" t="s">
        <v>153</v>
      </c>
    </row>
    <row r="7" spans="1:15">
      <c r="F7">
        <f>D7*E7</f>
        <v>0</v>
      </c>
      <c r="H7" s="2">
        <v>100000</v>
      </c>
      <c r="I7" s="2">
        <v>1</v>
      </c>
      <c r="J7" s="2">
        <f>H7*I7</f>
        <v>100000</v>
      </c>
      <c r="K7" s="2">
        <v>100000</v>
      </c>
      <c r="L7" s="2">
        <v>1</v>
      </c>
      <c r="M7" s="2">
        <f>K7*L7</f>
        <v>100000</v>
      </c>
    </row>
    <row r="9" spans="1:15">
      <c r="D9" s="2"/>
      <c r="F9" s="2"/>
      <c r="H9" s="2"/>
      <c r="J9" s="2"/>
    </row>
    <row r="10" spans="1:15">
      <c r="E10" s="2"/>
      <c r="H10" t="s">
        <v>126</v>
      </c>
      <c r="I10" s="11"/>
      <c r="J10" s="11">
        <f>J9+J7</f>
        <v>100000</v>
      </c>
      <c r="K10" s="25" t="s">
        <v>126</v>
      </c>
      <c r="L10" s="26"/>
      <c r="M10" s="26">
        <f>M9+M7</f>
        <v>100000</v>
      </c>
    </row>
    <row r="11" spans="1:15">
      <c r="H11" t="s">
        <v>156</v>
      </c>
      <c r="I11" s="11"/>
      <c r="J11" s="11">
        <f>J10*12</f>
        <v>1200000</v>
      </c>
      <c r="K11" s="25" t="s">
        <v>156</v>
      </c>
      <c r="L11" s="26"/>
      <c r="M11" s="26">
        <f>M10*12</f>
        <v>1200000</v>
      </c>
    </row>
    <row r="12" spans="1:15">
      <c r="A12" t="s">
        <v>123</v>
      </c>
    </row>
    <row r="13" spans="1:15">
      <c r="A13" t="s">
        <v>642</v>
      </c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B14" t="s">
        <v>140</v>
      </c>
      <c r="C14" s="124">
        <f>$J$10</f>
        <v>100000</v>
      </c>
      <c r="D14" s="124">
        <f t="shared" ref="D14:N14" si="0">$J$10</f>
        <v>100000</v>
      </c>
      <c r="E14" s="124">
        <f t="shared" si="0"/>
        <v>100000</v>
      </c>
      <c r="F14" s="124">
        <f t="shared" si="0"/>
        <v>100000</v>
      </c>
      <c r="G14" s="124">
        <f t="shared" si="0"/>
        <v>100000</v>
      </c>
      <c r="H14" s="124">
        <f t="shared" si="0"/>
        <v>100000</v>
      </c>
      <c r="I14" s="124">
        <f t="shared" si="0"/>
        <v>100000</v>
      </c>
      <c r="J14" s="124">
        <f t="shared" si="0"/>
        <v>100000</v>
      </c>
      <c r="K14" s="124">
        <f t="shared" si="0"/>
        <v>100000</v>
      </c>
      <c r="L14" s="124">
        <f t="shared" si="0"/>
        <v>100000</v>
      </c>
      <c r="M14" s="124">
        <f t="shared" si="0"/>
        <v>100000</v>
      </c>
      <c r="N14" s="124">
        <f t="shared" si="0"/>
        <v>100000</v>
      </c>
      <c r="O14" s="3">
        <f>SUM(C14:N14)</f>
        <v>1200000</v>
      </c>
    </row>
    <row r="15" spans="1:15">
      <c r="B15" t="s">
        <v>141</v>
      </c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>
        <f>SUM(C15:N15)</f>
        <v>0</v>
      </c>
    </row>
    <row r="16" spans="1:15">
      <c r="N16" t="s">
        <v>164</v>
      </c>
      <c r="O16" s="3">
        <f>O15-O14</f>
        <v>-1200000</v>
      </c>
    </row>
    <row r="17" spans="1:15">
      <c r="O17" s="3"/>
    </row>
    <row r="18" spans="1:15">
      <c r="A18" t="s">
        <v>123</v>
      </c>
    </row>
    <row r="19" spans="1:15">
      <c r="A19" t="s">
        <v>642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>$J$10</f>
        <v>100000</v>
      </c>
      <c r="D20" s="11">
        <f t="shared" ref="D20:N20" si="1">$J$10</f>
        <v>100000</v>
      </c>
      <c r="E20" s="11">
        <f t="shared" si="1"/>
        <v>100000</v>
      </c>
      <c r="F20" s="11">
        <f t="shared" si="1"/>
        <v>100000</v>
      </c>
      <c r="G20" s="11">
        <f t="shared" si="1"/>
        <v>100000</v>
      </c>
      <c r="H20" s="11">
        <f t="shared" si="1"/>
        <v>100000</v>
      </c>
      <c r="I20" s="11">
        <f t="shared" si="1"/>
        <v>100000</v>
      </c>
      <c r="J20" s="11">
        <f t="shared" si="1"/>
        <v>100000</v>
      </c>
      <c r="K20" s="11">
        <f t="shared" si="1"/>
        <v>100000</v>
      </c>
      <c r="L20" s="11">
        <f t="shared" si="1"/>
        <v>100000</v>
      </c>
      <c r="M20" s="11">
        <f t="shared" si="1"/>
        <v>100000</v>
      </c>
      <c r="N20" s="11">
        <f t="shared" si="1"/>
        <v>100000</v>
      </c>
      <c r="O20" s="3">
        <f>SUM(C20:N20)</f>
        <v>1200000</v>
      </c>
    </row>
    <row r="21" spans="1:15">
      <c r="B21" t="s">
        <v>141</v>
      </c>
      <c r="C21" s="11">
        <v>100000</v>
      </c>
      <c r="D21" s="11">
        <v>100000</v>
      </c>
      <c r="E21" s="11">
        <v>100000</v>
      </c>
      <c r="F21" s="11">
        <v>100000</v>
      </c>
      <c r="G21" s="11">
        <v>100000</v>
      </c>
      <c r="H21" s="11">
        <v>100000</v>
      </c>
      <c r="I21" s="11">
        <v>100000</v>
      </c>
      <c r="J21" s="11">
        <v>100000</v>
      </c>
      <c r="K21" s="11">
        <v>100000</v>
      </c>
      <c r="L21" s="11">
        <v>100000</v>
      </c>
      <c r="M21" s="11">
        <v>100000</v>
      </c>
      <c r="N21" s="11">
        <v>100000</v>
      </c>
      <c r="O21" s="3">
        <f>SUM(C21:N21)</f>
        <v>1200000</v>
      </c>
    </row>
    <row r="22" spans="1:15">
      <c r="N22" t="s">
        <v>164</v>
      </c>
      <c r="O22" s="3">
        <f>O21-O20</f>
        <v>0</v>
      </c>
    </row>
  </sheetData>
  <phoneticPr fontId="6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E399-AFC8-4393-B488-CEB88CCBD109}">
  <sheetPr>
    <tabColor rgb="FFFFC000"/>
  </sheetPr>
  <dimension ref="A2:Q28"/>
  <sheetViews>
    <sheetView zoomScale="85" zoomScaleNormal="85" workbookViewId="0">
      <selection activeCell="K20" sqref="K20"/>
    </sheetView>
  </sheetViews>
  <sheetFormatPr defaultRowHeight="18"/>
  <cols>
    <col min="4" max="4" width="18.375" customWidth="1"/>
    <col min="5" max="5" width="17.25" bestFit="1" customWidth="1"/>
    <col min="6" max="6" width="18.25" bestFit="1" customWidth="1"/>
    <col min="7" max="7" width="10.375" bestFit="1" customWidth="1"/>
    <col min="8" max="8" width="11.5" bestFit="1" customWidth="1"/>
    <col min="9" max="9" width="10.375" bestFit="1" customWidth="1"/>
    <col min="10" max="10" width="12" customWidth="1"/>
    <col min="11" max="11" width="11.5" bestFit="1" customWidth="1"/>
    <col min="12" max="16" width="10.375" bestFit="1" customWidth="1"/>
    <col min="17" max="17" width="14.875" customWidth="1"/>
  </cols>
  <sheetData>
    <row r="2" spans="1:17">
      <c r="I2" t="s">
        <v>643</v>
      </c>
    </row>
    <row r="3" spans="1:17">
      <c r="I3" t="s">
        <v>439</v>
      </c>
      <c r="K3" s="331" t="s">
        <v>186</v>
      </c>
      <c r="L3" s="331"/>
      <c r="M3" s="331"/>
      <c r="N3" s="331"/>
    </row>
    <row r="4" spans="1:17">
      <c r="I4">
        <v>800</v>
      </c>
      <c r="K4" s="331" t="s">
        <v>644</v>
      </c>
      <c r="L4" s="331"/>
      <c r="M4" s="331"/>
      <c r="N4" s="331"/>
    </row>
    <row r="5" spans="1:17">
      <c r="K5" s="331" t="s">
        <v>645</v>
      </c>
      <c r="L5" s="331"/>
      <c r="M5" s="331"/>
      <c r="N5" s="331"/>
    </row>
    <row r="6" spans="1:17">
      <c r="K6" s="331" t="s">
        <v>646</v>
      </c>
      <c r="L6" s="331"/>
      <c r="M6" s="331"/>
      <c r="N6" s="331"/>
    </row>
    <row r="7" spans="1:17">
      <c r="K7" s="331"/>
      <c r="L7" s="331"/>
      <c r="M7" s="331"/>
      <c r="N7" s="331"/>
    </row>
    <row r="11" spans="1:17">
      <c r="J11" s="11"/>
      <c r="K11" s="11"/>
      <c r="L11" s="11"/>
      <c r="M11" s="11"/>
      <c r="N11" s="11"/>
      <c r="O11" s="11"/>
    </row>
    <row r="13" spans="1:17">
      <c r="F13" s="11"/>
      <c r="H13" s="11"/>
      <c r="J13" s="11"/>
      <c r="L13" s="11"/>
    </row>
    <row r="14" spans="1:17">
      <c r="A14" t="s">
        <v>124</v>
      </c>
      <c r="F14" t="s">
        <v>647</v>
      </c>
      <c r="H14" t="s">
        <v>648</v>
      </c>
    </row>
    <row r="15" spans="1:17">
      <c r="A15" t="s">
        <v>649</v>
      </c>
      <c r="E15" t="s">
        <v>127</v>
      </c>
      <c r="F15" t="s">
        <v>159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  <c r="P15" t="s">
        <v>138</v>
      </c>
    </row>
    <row r="16" spans="1:17">
      <c r="D16" s="25" t="s">
        <v>140</v>
      </c>
      <c r="E16" s="26">
        <f>$I$4*E$17</f>
        <v>168000</v>
      </c>
      <c r="F16" s="26">
        <f t="shared" ref="F16:P16" si="0">$I$4*F$17</f>
        <v>184000</v>
      </c>
      <c r="G16" s="26">
        <f t="shared" si="0"/>
        <v>184000</v>
      </c>
      <c r="H16" s="26">
        <f t="shared" si="0"/>
        <v>200000</v>
      </c>
      <c r="I16" s="26">
        <f t="shared" si="0"/>
        <v>200000</v>
      </c>
      <c r="J16" s="26">
        <f t="shared" si="0"/>
        <v>204000</v>
      </c>
      <c r="K16" s="26">
        <f t="shared" si="0"/>
        <v>204000</v>
      </c>
      <c r="L16" s="26">
        <f t="shared" si="0"/>
        <v>208000</v>
      </c>
      <c r="M16" s="26">
        <f t="shared" si="0"/>
        <v>208000</v>
      </c>
      <c r="N16" s="26">
        <f t="shared" si="0"/>
        <v>212000</v>
      </c>
      <c r="O16" s="26">
        <f t="shared" si="0"/>
        <v>212000</v>
      </c>
      <c r="P16" s="26">
        <f t="shared" si="0"/>
        <v>216000</v>
      </c>
      <c r="Q16" s="3">
        <f>SUM(E16:P16)</f>
        <v>2400000</v>
      </c>
    </row>
    <row r="17" spans="1:17">
      <c r="D17" t="s">
        <v>298</v>
      </c>
      <c r="E17" s="11">
        <v>210</v>
      </c>
      <c r="F17" s="11">
        <v>230</v>
      </c>
      <c r="G17" s="11">
        <v>230</v>
      </c>
      <c r="H17" s="11">
        <v>250</v>
      </c>
      <c r="I17" s="11">
        <v>250</v>
      </c>
      <c r="J17" s="11">
        <v>255</v>
      </c>
      <c r="K17" s="11">
        <v>255</v>
      </c>
      <c r="L17" s="11">
        <v>260</v>
      </c>
      <c r="M17" s="11">
        <v>260</v>
      </c>
      <c r="N17" s="11">
        <v>265</v>
      </c>
      <c r="O17" s="11">
        <v>265</v>
      </c>
      <c r="P17" s="11">
        <v>270</v>
      </c>
      <c r="Q17" s="3"/>
    </row>
    <row r="18" spans="1:17">
      <c r="D18" t="s">
        <v>572</v>
      </c>
      <c r="E18" s="11"/>
      <c r="F18" s="11">
        <v>20</v>
      </c>
      <c r="G18" s="11"/>
      <c r="H18" s="11">
        <v>20</v>
      </c>
      <c r="I18" s="11"/>
      <c r="J18" s="11">
        <v>5</v>
      </c>
      <c r="K18" s="11"/>
      <c r="L18" s="11">
        <v>5</v>
      </c>
      <c r="M18" s="11"/>
      <c r="N18" s="11">
        <v>5</v>
      </c>
      <c r="O18" s="11"/>
      <c r="P18" s="11">
        <v>5</v>
      </c>
      <c r="Q18" s="3"/>
    </row>
    <row r="19" spans="1:17">
      <c r="E19" s="11"/>
      <c r="F19" s="11"/>
      <c r="G19" s="11"/>
      <c r="H19" s="11"/>
      <c r="I19" s="11"/>
      <c r="J19" s="11"/>
      <c r="K19" s="11"/>
      <c r="L19" s="3"/>
      <c r="M19" s="3"/>
      <c r="N19" s="3"/>
      <c r="O19" s="3"/>
      <c r="P19" s="3"/>
      <c r="Q19" s="3"/>
    </row>
    <row r="20" spans="1:17">
      <c r="Q20" s="3"/>
    </row>
    <row r="21" spans="1:17">
      <c r="Q21" s="3"/>
    </row>
    <row r="22" spans="1:17">
      <c r="A22" t="s">
        <v>123</v>
      </c>
    </row>
    <row r="23" spans="1:17">
      <c r="A23" t="s">
        <v>649</v>
      </c>
      <c r="E23" t="s">
        <v>127</v>
      </c>
      <c r="F23" t="s">
        <v>159</v>
      </c>
      <c r="G23" t="s">
        <v>129</v>
      </c>
      <c r="H23" t="s">
        <v>130</v>
      </c>
      <c r="I23" t="s">
        <v>131</v>
      </c>
      <c r="J23" t="s">
        <v>132</v>
      </c>
      <c r="K23" t="s">
        <v>133</v>
      </c>
      <c r="L23" t="s">
        <v>134</v>
      </c>
      <c r="M23" t="s">
        <v>135</v>
      </c>
      <c r="N23" t="s">
        <v>136</v>
      </c>
      <c r="O23" t="s">
        <v>137</v>
      </c>
      <c r="P23" t="s">
        <v>138</v>
      </c>
    </row>
    <row r="24" spans="1:17">
      <c r="A24" t="s">
        <v>650</v>
      </c>
      <c r="D24" t="s">
        <v>140</v>
      </c>
      <c r="E24" s="11">
        <f t="shared" ref="E24:P24" si="1">$I$4*E$25</f>
        <v>0</v>
      </c>
      <c r="F24" s="11">
        <f t="shared" si="1"/>
        <v>0</v>
      </c>
      <c r="G24" s="11">
        <f t="shared" si="1"/>
        <v>0</v>
      </c>
      <c r="H24" s="11">
        <f t="shared" si="1"/>
        <v>0</v>
      </c>
      <c r="I24" s="11">
        <f t="shared" si="1"/>
        <v>0</v>
      </c>
      <c r="J24" s="11">
        <f t="shared" si="1"/>
        <v>214400</v>
      </c>
      <c r="K24" s="11">
        <f t="shared" si="1"/>
        <v>206400</v>
      </c>
      <c r="L24" s="11">
        <f t="shared" si="1"/>
        <v>192000</v>
      </c>
      <c r="M24" s="11">
        <f t="shared" si="1"/>
        <v>162400</v>
      </c>
      <c r="N24" s="11">
        <f t="shared" si="1"/>
        <v>167200</v>
      </c>
      <c r="O24" s="11">
        <f t="shared" si="1"/>
        <v>168000</v>
      </c>
      <c r="P24" s="11">
        <f t="shared" si="1"/>
        <v>168000</v>
      </c>
      <c r="Q24" s="3">
        <f>SUM(E24:P24)</f>
        <v>1278400</v>
      </c>
    </row>
    <row r="25" spans="1:17">
      <c r="D25" t="s">
        <v>298</v>
      </c>
      <c r="E25" s="11"/>
      <c r="F25" s="11"/>
      <c r="G25" s="11"/>
      <c r="H25" s="11"/>
      <c r="I25" s="11"/>
      <c r="J25" s="376">
        <v>268</v>
      </c>
      <c r="K25" s="376">
        <v>258</v>
      </c>
      <c r="L25" s="376">
        <v>240</v>
      </c>
      <c r="M25" s="376">
        <v>203</v>
      </c>
      <c r="N25" s="377">
        <v>209</v>
      </c>
      <c r="O25" s="377">
        <v>210</v>
      </c>
      <c r="P25" s="377">
        <v>210</v>
      </c>
      <c r="Q25" s="3"/>
    </row>
    <row r="26" spans="1:17"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3"/>
    </row>
    <row r="27" spans="1:17">
      <c r="D27" t="s">
        <v>141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3">
        <f>SUM(E27:P27)</f>
        <v>0</v>
      </c>
    </row>
    <row r="28" spans="1:17">
      <c r="P28" t="s">
        <v>164</v>
      </c>
      <c r="Q28" s="3">
        <f>Q27-Q24</f>
        <v>-1278400</v>
      </c>
    </row>
  </sheetData>
  <phoneticPr fontId="6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4948-AF3E-4856-8A88-6FEEA04306D2}">
  <sheetPr codeName="Sheet49">
    <tabColor rgb="FFFFC000"/>
  </sheetPr>
  <dimension ref="A4:O22"/>
  <sheetViews>
    <sheetView topLeftCell="B1" zoomScale="85" zoomScaleNormal="85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4" spans="1:15">
      <c r="D4" t="s">
        <v>651</v>
      </c>
    </row>
    <row r="6" spans="1:15">
      <c r="D6" t="s">
        <v>147</v>
      </c>
      <c r="H6" t="s">
        <v>123</v>
      </c>
      <c r="K6" t="s">
        <v>124</v>
      </c>
    </row>
    <row r="7" spans="1:15">
      <c r="D7" t="s">
        <v>152</v>
      </c>
      <c r="E7" t="s">
        <v>153</v>
      </c>
      <c r="H7" t="s">
        <v>152</v>
      </c>
      <c r="I7" t="s">
        <v>153</v>
      </c>
      <c r="K7" t="s">
        <v>152</v>
      </c>
      <c r="L7" t="s">
        <v>153</v>
      </c>
    </row>
    <row r="8" spans="1:15">
      <c r="D8" s="2">
        <v>80000</v>
      </c>
      <c r="F8">
        <f>D8*E8</f>
        <v>0</v>
      </c>
      <c r="H8" s="2">
        <v>80000</v>
      </c>
      <c r="I8" s="2">
        <v>1</v>
      </c>
      <c r="J8" s="2">
        <f>H8*I8</f>
        <v>80000</v>
      </c>
      <c r="K8" s="2">
        <v>80000</v>
      </c>
      <c r="L8" s="2">
        <v>1</v>
      </c>
      <c r="M8" s="2">
        <f>K8*L8</f>
        <v>80000</v>
      </c>
    </row>
    <row r="10" spans="1:15">
      <c r="D10" s="2"/>
      <c r="F10" s="2"/>
      <c r="H10" s="2"/>
      <c r="J10" s="2"/>
    </row>
    <row r="11" spans="1:15">
      <c r="E11" s="2"/>
      <c r="H11" t="s">
        <v>126</v>
      </c>
      <c r="I11" s="11"/>
      <c r="J11" s="11">
        <f>J10+J8</f>
        <v>80000</v>
      </c>
      <c r="K11" s="25" t="s">
        <v>126</v>
      </c>
      <c r="L11" s="26"/>
      <c r="M11" s="26">
        <f>M10+M8</f>
        <v>80000</v>
      </c>
    </row>
    <row r="12" spans="1:15">
      <c r="H12" t="s">
        <v>156</v>
      </c>
      <c r="I12" s="11"/>
      <c r="J12" s="11">
        <f>J11*12</f>
        <v>960000</v>
      </c>
      <c r="K12" s="25" t="s">
        <v>156</v>
      </c>
      <c r="L12" s="26"/>
      <c r="M12" s="26">
        <f>M11*12</f>
        <v>960000</v>
      </c>
    </row>
    <row r="13" spans="1:15">
      <c r="A13" t="s">
        <v>124</v>
      </c>
    </row>
    <row r="14" spans="1:15">
      <c r="A14" t="s">
        <v>652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5">
      <c r="B15" t="s">
        <v>140</v>
      </c>
      <c r="C15" s="26">
        <f>$J$11</f>
        <v>80000</v>
      </c>
      <c r="D15" s="26">
        <f t="shared" ref="D15:N15" si="0">$J$11</f>
        <v>80000</v>
      </c>
      <c r="E15" s="26">
        <f t="shared" si="0"/>
        <v>80000</v>
      </c>
      <c r="F15" s="26">
        <f t="shared" si="0"/>
        <v>80000</v>
      </c>
      <c r="G15" s="26">
        <f t="shared" si="0"/>
        <v>80000</v>
      </c>
      <c r="H15" s="26">
        <f t="shared" si="0"/>
        <v>80000</v>
      </c>
      <c r="I15" s="26">
        <f t="shared" si="0"/>
        <v>80000</v>
      </c>
      <c r="J15" s="26">
        <f t="shared" si="0"/>
        <v>80000</v>
      </c>
      <c r="K15" s="26">
        <f t="shared" si="0"/>
        <v>80000</v>
      </c>
      <c r="L15" s="26">
        <f t="shared" si="0"/>
        <v>80000</v>
      </c>
      <c r="M15" s="26">
        <f t="shared" si="0"/>
        <v>80000</v>
      </c>
      <c r="N15" s="26">
        <f t="shared" si="0"/>
        <v>80000</v>
      </c>
      <c r="O15" s="3">
        <f>SUM(C15:N15)</f>
        <v>960000</v>
      </c>
    </row>
    <row r="16" spans="1:15">
      <c r="B16" t="s">
        <v>141</v>
      </c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>
        <f>SUM(C16:N16)</f>
        <v>0</v>
      </c>
    </row>
    <row r="17" spans="1:15">
      <c r="N17" t="s">
        <v>164</v>
      </c>
      <c r="O17" s="3">
        <f>O16-O15</f>
        <v>-960000</v>
      </c>
    </row>
    <row r="18" spans="1:15">
      <c r="A18" t="s">
        <v>123</v>
      </c>
    </row>
    <row r="19" spans="1:15">
      <c r="A19" t="s">
        <v>652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>$J$11</f>
        <v>80000</v>
      </c>
      <c r="D20" s="11">
        <f t="shared" ref="D20:N20" si="1">$J$11</f>
        <v>80000</v>
      </c>
      <c r="E20" s="11">
        <f t="shared" si="1"/>
        <v>80000</v>
      </c>
      <c r="F20" s="11">
        <f t="shared" si="1"/>
        <v>80000</v>
      </c>
      <c r="G20" s="11">
        <f t="shared" si="1"/>
        <v>80000</v>
      </c>
      <c r="H20" s="11">
        <f t="shared" si="1"/>
        <v>80000</v>
      </c>
      <c r="I20" s="11">
        <f t="shared" si="1"/>
        <v>80000</v>
      </c>
      <c r="J20" s="11">
        <f t="shared" si="1"/>
        <v>80000</v>
      </c>
      <c r="K20" s="11">
        <f t="shared" si="1"/>
        <v>80000</v>
      </c>
      <c r="L20" s="11">
        <f t="shared" si="1"/>
        <v>80000</v>
      </c>
      <c r="M20" s="11">
        <f t="shared" si="1"/>
        <v>80000</v>
      </c>
      <c r="N20" s="11">
        <f t="shared" si="1"/>
        <v>80000</v>
      </c>
      <c r="O20" s="3">
        <f>SUM(C20:N20)</f>
        <v>960000</v>
      </c>
    </row>
    <row r="21" spans="1:15">
      <c r="B21" t="s">
        <v>141</v>
      </c>
      <c r="C21" s="11">
        <v>80000</v>
      </c>
      <c r="D21" s="11">
        <v>80000</v>
      </c>
      <c r="E21" s="11">
        <v>80000</v>
      </c>
      <c r="F21" s="11">
        <v>80000</v>
      </c>
      <c r="G21" s="11">
        <v>80000</v>
      </c>
      <c r="H21" s="11">
        <v>80000</v>
      </c>
      <c r="I21" s="11">
        <v>80000</v>
      </c>
      <c r="J21" s="3">
        <v>80000</v>
      </c>
      <c r="K21" s="3">
        <v>80000</v>
      </c>
      <c r="L21" s="3">
        <v>80000</v>
      </c>
      <c r="M21" s="3">
        <v>80000</v>
      </c>
      <c r="N21" s="3">
        <v>80000</v>
      </c>
      <c r="O21" s="3">
        <f>SUM(C21:N21)</f>
        <v>960000</v>
      </c>
    </row>
    <row r="22" spans="1:15">
      <c r="N22" t="s">
        <v>164</v>
      </c>
      <c r="O22" s="3">
        <f>O21-O20</f>
        <v>0</v>
      </c>
    </row>
  </sheetData>
  <phoneticPr fontId="6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EF4C-2E3F-4361-B463-A70873D740D8}">
  <sheetPr codeName="Sheet50">
    <tabColor rgb="FFFFC000"/>
  </sheetPr>
  <dimension ref="A4:O22"/>
  <sheetViews>
    <sheetView zoomScale="85" zoomScaleNormal="85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4" spans="1:15">
      <c r="D4" t="s">
        <v>653</v>
      </c>
    </row>
    <row r="6" spans="1:15">
      <c r="D6" t="s">
        <v>147</v>
      </c>
      <c r="H6" t="s">
        <v>123</v>
      </c>
      <c r="K6" t="s">
        <v>124</v>
      </c>
    </row>
    <row r="7" spans="1:15">
      <c r="D7" t="s">
        <v>152</v>
      </c>
      <c r="E7" t="s">
        <v>153</v>
      </c>
      <c r="H7" t="s">
        <v>152</v>
      </c>
      <c r="I7" t="s">
        <v>153</v>
      </c>
      <c r="K7" t="s">
        <v>152</v>
      </c>
      <c r="L7" t="s">
        <v>153</v>
      </c>
    </row>
    <row r="8" spans="1:15">
      <c r="D8" s="2">
        <v>4200</v>
      </c>
      <c r="F8">
        <f>D8*E8</f>
        <v>0</v>
      </c>
      <c r="H8" s="2">
        <v>4200</v>
      </c>
      <c r="I8" s="2">
        <v>1</v>
      </c>
      <c r="J8" s="2">
        <f>H8*I8</f>
        <v>4200</v>
      </c>
      <c r="K8" s="2">
        <v>4200</v>
      </c>
      <c r="L8" s="2">
        <v>1</v>
      </c>
      <c r="M8" s="2">
        <f>K8*L8</f>
        <v>4200</v>
      </c>
    </row>
    <row r="10" spans="1:15">
      <c r="D10" s="2"/>
      <c r="F10" s="2"/>
      <c r="H10" s="2"/>
      <c r="J10" s="2"/>
      <c r="K10" s="2"/>
      <c r="M10" s="2"/>
    </row>
    <row r="11" spans="1:15">
      <c r="E11" s="2"/>
      <c r="H11" t="s">
        <v>126</v>
      </c>
      <c r="I11" s="11"/>
      <c r="J11" s="11">
        <f>J10+J8</f>
        <v>4200</v>
      </c>
      <c r="K11" s="25" t="s">
        <v>126</v>
      </c>
      <c r="L11" s="26"/>
      <c r="M11" s="26">
        <f>M10+M8</f>
        <v>4200</v>
      </c>
    </row>
    <row r="12" spans="1:15">
      <c r="H12" t="s">
        <v>156</v>
      </c>
      <c r="I12" s="11"/>
      <c r="J12" s="11">
        <f>J11*12</f>
        <v>50400</v>
      </c>
      <c r="K12" s="25" t="s">
        <v>156</v>
      </c>
      <c r="L12" s="26"/>
      <c r="M12" s="26">
        <f>M11*12</f>
        <v>50400</v>
      </c>
    </row>
    <row r="13" spans="1:15">
      <c r="A13" t="s">
        <v>124</v>
      </c>
    </row>
    <row r="14" spans="1:15">
      <c r="A14" t="s">
        <v>654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5">
      <c r="B15" t="s">
        <v>140</v>
      </c>
      <c r="C15" s="124">
        <f>$J$11</f>
        <v>4200</v>
      </c>
      <c r="D15" s="124">
        <f t="shared" ref="D15:N15" si="0">$J$11</f>
        <v>4200</v>
      </c>
      <c r="E15" s="124">
        <f t="shared" si="0"/>
        <v>4200</v>
      </c>
      <c r="F15" s="124">
        <f t="shared" si="0"/>
        <v>4200</v>
      </c>
      <c r="G15" s="124">
        <f t="shared" si="0"/>
        <v>4200</v>
      </c>
      <c r="H15" s="124">
        <f t="shared" si="0"/>
        <v>4200</v>
      </c>
      <c r="I15" s="124">
        <f t="shared" si="0"/>
        <v>4200</v>
      </c>
      <c r="J15" s="124">
        <f t="shared" si="0"/>
        <v>4200</v>
      </c>
      <c r="K15" s="124">
        <f t="shared" si="0"/>
        <v>4200</v>
      </c>
      <c r="L15" s="124">
        <f t="shared" si="0"/>
        <v>4200</v>
      </c>
      <c r="M15" s="124">
        <f t="shared" si="0"/>
        <v>4200</v>
      </c>
      <c r="N15" s="124">
        <f t="shared" si="0"/>
        <v>4200</v>
      </c>
      <c r="O15" s="3">
        <f>SUM(C15:N15)</f>
        <v>50400</v>
      </c>
    </row>
    <row r="16" spans="1:15">
      <c r="B16" t="s">
        <v>141</v>
      </c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>
        <f>SUM(C16:N16)</f>
        <v>0</v>
      </c>
    </row>
    <row r="17" spans="1:15">
      <c r="N17" t="s">
        <v>164</v>
      </c>
      <c r="O17" s="3">
        <f>O16-O15</f>
        <v>-50400</v>
      </c>
    </row>
    <row r="18" spans="1:15">
      <c r="A18" t="s">
        <v>123</v>
      </c>
    </row>
    <row r="19" spans="1:15">
      <c r="A19" t="s">
        <v>654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>$J$11</f>
        <v>4200</v>
      </c>
      <c r="D20" s="11">
        <f t="shared" ref="D20:N20" si="1">$J$11</f>
        <v>4200</v>
      </c>
      <c r="E20" s="11">
        <f t="shared" si="1"/>
        <v>4200</v>
      </c>
      <c r="F20" s="11">
        <f t="shared" si="1"/>
        <v>4200</v>
      </c>
      <c r="G20" s="11">
        <f t="shared" si="1"/>
        <v>4200</v>
      </c>
      <c r="H20" s="11">
        <f t="shared" si="1"/>
        <v>4200</v>
      </c>
      <c r="I20" s="11">
        <f t="shared" si="1"/>
        <v>4200</v>
      </c>
      <c r="J20" s="11">
        <f t="shared" si="1"/>
        <v>4200</v>
      </c>
      <c r="K20" s="11">
        <f t="shared" si="1"/>
        <v>4200</v>
      </c>
      <c r="L20" s="11">
        <f t="shared" si="1"/>
        <v>4200</v>
      </c>
      <c r="M20" s="11">
        <f t="shared" si="1"/>
        <v>4200</v>
      </c>
      <c r="N20" s="11">
        <f t="shared" si="1"/>
        <v>4200</v>
      </c>
      <c r="O20" s="3">
        <f>SUM(C20:N20)</f>
        <v>50400</v>
      </c>
    </row>
    <row r="21" spans="1:15">
      <c r="B21" t="s">
        <v>141</v>
      </c>
      <c r="C21" s="11">
        <v>4200</v>
      </c>
      <c r="D21" s="11">
        <v>4200</v>
      </c>
      <c r="E21" s="11">
        <v>4200</v>
      </c>
      <c r="F21" s="11">
        <v>4200</v>
      </c>
      <c r="G21" s="11">
        <v>4200</v>
      </c>
      <c r="H21" s="11">
        <v>4200</v>
      </c>
      <c r="I21" s="11">
        <v>4200</v>
      </c>
      <c r="J21" s="3">
        <v>4200</v>
      </c>
      <c r="K21" s="3">
        <v>4200</v>
      </c>
      <c r="L21" s="3">
        <v>4200</v>
      </c>
      <c r="M21" s="3">
        <v>4200</v>
      </c>
      <c r="N21" s="3">
        <v>4200</v>
      </c>
      <c r="O21" s="3">
        <f>SUM(C21:N21)</f>
        <v>50400</v>
      </c>
    </row>
    <row r="22" spans="1:15">
      <c r="N22" t="s">
        <v>164</v>
      </c>
      <c r="O22" s="3">
        <f>O21-O20</f>
        <v>0</v>
      </c>
    </row>
  </sheetData>
  <phoneticPr fontId="6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AA14-A100-4204-845E-B41D732FD2C2}">
  <sheetPr codeName="Sheet51">
    <tabColor rgb="FFFFC000"/>
  </sheetPr>
  <dimension ref="A4:O22"/>
  <sheetViews>
    <sheetView topLeftCell="B1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4" spans="1:15">
      <c r="D4" t="s">
        <v>655</v>
      </c>
    </row>
    <row r="6" spans="1:15">
      <c r="D6" t="s">
        <v>147</v>
      </c>
      <c r="H6" t="s">
        <v>123</v>
      </c>
    </row>
    <row r="7" spans="1:15">
      <c r="D7" t="s">
        <v>152</v>
      </c>
      <c r="E7" t="s">
        <v>153</v>
      </c>
      <c r="H7" t="s">
        <v>152</v>
      </c>
      <c r="I7" t="s">
        <v>153</v>
      </c>
    </row>
    <row r="8" spans="1:15">
      <c r="D8" s="2">
        <v>88000</v>
      </c>
      <c r="F8">
        <f>D8*E8</f>
        <v>0</v>
      </c>
      <c r="H8" s="2">
        <v>88000</v>
      </c>
      <c r="I8" s="2">
        <v>1</v>
      </c>
      <c r="J8" s="2">
        <f>H8*I8</f>
        <v>88000</v>
      </c>
    </row>
    <row r="10" spans="1:15">
      <c r="D10" s="2"/>
      <c r="F10" s="2"/>
      <c r="H10" s="2"/>
      <c r="J10" s="2"/>
    </row>
    <row r="11" spans="1:15">
      <c r="E11" s="2"/>
      <c r="I11" s="26"/>
      <c r="J11" s="26">
        <f>J10+J8</f>
        <v>88000</v>
      </c>
    </row>
    <row r="12" spans="1:15">
      <c r="H12" s="25" t="s">
        <v>156</v>
      </c>
      <c r="I12" s="26"/>
      <c r="J12" s="26">
        <f>J11*12</f>
        <v>1056000</v>
      </c>
    </row>
    <row r="13" spans="1:15">
      <c r="A13" t="s">
        <v>124</v>
      </c>
    </row>
    <row r="14" spans="1:15">
      <c r="A14" t="s">
        <v>656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5">
      <c r="B15" t="s">
        <v>140</v>
      </c>
      <c r="C15" s="124">
        <f>$J$11</f>
        <v>88000</v>
      </c>
      <c r="D15" s="124">
        <f t="shared" ref="D15:N15" si="0">$J$11</f>
        <v>88000</v>
      </c>
      <c r="E15" s="124">
        <f t="shared" si="0"/>
        <v>88000</v>
      </c>
      <c r="F15" s="124">
        <f t="shared" si="0"/>
        <v>88000</v>
      </c>
      <c r="G15" s="124">
        <f t="shared" si="0"/>
        <v>88000</v>
      </c>
      <c r="H15" s="124">
        <f t="shared" si="0"/>
        <v>88000</v>
      </c>
      <c r="I15" s="124">
        <f t="shared" si="0"/>
        <v>88000</v>
      </c>
      <c r="J15" s="124">
        <f t="shared" si="0"/>
        <v>88000</v>
      </c>
      <c r="K15" s="124">
        <f t="shared" si="0"/>
        <v>88000</v>
      </c>
      <c r="L15" s="124">
        <f t="shared" si="0"/>
        <v>88000</v>
      </c>
      <c r="M15" s="124">
        <f t="shared" si="0"/>
        <v>88000</v>
      </c>
      <c r="N15" s="124">
        <f t="shared" si="0"/>
        <v>88000</v>
      </c>
      <c r="O15" s="3">
        <f>SUM(C15:N15)</f>
        <v>1056000</v>
      </c>
    </row>
    <row r="16" spans="1:15">
      <c r="B16" t="s">
        <v>141</v>
      </c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>
        <f>SUM(C16:N16)</f>
        <v>0</v>
      </c>
    </row>
    <row r="17" spans="1:15">
      <c r="N17" t="s">
        <v>164</v>
      </c>
      <c r="O17" s="3">
        <f>O16-O15</f>
        <v>-1056000</v>
      </c>
    </row>
    <row r="18" spans="1:15">
      <c r="A18" t="s">
        <v>123</v>
      </c>
    </row>
    <row r="19" spans="1:15">
      <c r="A19" t="s">
        <v>656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>$J$11</f>
        <v>88000</v>
      </c>
      <c r="D20" s="11">
        <f t="shared" ref="D20:N20" si="1">$J$11</f>
        <v>88000</v>
      </c>
      <c r="E20" s="11">
        <f t="shared" si="1"/>
        <v>88000</v>
      </c>
      <c r="F20" s="11">
        <f t="shared" si="1"/>
        <v>88000</v>
      </c>
      <c r="G20" s="11">
        <f t="shared" si="1"/>
        <v>88000</v>
      </c>
      <c r="H20" s="11">
        <f t="shared" si="1"/>
        <v>88000</v>
      </c>
      <c r="I20" s="11">
        <f t="shared" si="1"/>
        <v>88000</v>
      </c>
      <c r="J20" s="11">
        <f t="shared" si="1"/>
        <v>88000</v>
      </c>
      <c r="K20" s="11">
        <f t="shared" si="1"/>
        <v>88000</v>
      </c>
      <c r="L20" s="11">
        <f t="shared" si="1"/>
        <v>88000</v>
      </c>
      <c r="M20" s="11">
        <f t="shared" si="1"/>
        <v>88000</v>
      </c>
      <c r="N20" s="11">
        <f t="shared" si="1"/>
        <v>88000</v>
      </c>
      <c r="O20" s="3">
        <f>SUM(C20:N20)</f>
        <v>1056000</v>
      </c>
    </row>
    <row r="21" spans="1:15">
      <c r="B21" t="s">
        <v>141</v>
      </c>
      <c r="C21" s="11">
        <v>88000</v>
      </c>
      <c r="D21" s="11">
        <v>88000</v>
      </c>
      <c r="E21" s="11">
        <v>88000</v>
      </c>
      <c r="F21" s="11">
        <v>88000</v>
      </c>
      <c r="G21" s="11">
        <v>88000</v>
      </c>
      <c r="H21" s="11">
        <v>88000</v>
      </c>
      <c r="I21" s="11">
        <v>88000</v>
      </c>
      <c r="J21" s="3">
        <v>88000</v>
      </c>
      <c r="K21" s="3">
        <v>88000</v>
      </c>
      <c r="L21" s="3">
        <v>88000</v>
      </c>
      <c r="M21" s="3">
        <v>88000</v>
      </c>
      <c r="N21" s="3">
        <v>88000</v>
      </c>
      <c r="O21" s="3">
        <f>SUM(C21:N21)</f>
        <v>1056000</v>
      </c>
    </row>
    <row r="22" spans="1:15">
      <c r="N22" t="s">
        <v>164</v>
      </c>
      <c r="O22" s="3">
        <f>O21-O20</f>
        <v>0</v>
      </c>
    </row>
  </sheetData>
  <phoneticPr fontId="6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8130-961E-4A48-AB1D-C26DEDEEF927}">
  <sheetPr codeName="Sheet52">
    <tabColor rgb="FFFFC000"/>
  </sheetPr>
  <dimension ref="A4:O22"/>
  <sheetViews>
    <sheetView zoomScale="85" zoomScaleNormal="85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4" spans="1:15">
      <c r="D4" t="s">
        <v>657</v>
      </c>
    </row>
    <row r="6" spans="1:15">
      <c r="D6" t="s">
        <v>147</v>
      </c>
      <c r="H6" t="s">
        <v>123</v>
      </c>
      <c r="K6" t="s">
        <v>124</v>
      </c>
    </row>
    <row r="7" spans="1:15">
      <c r="D7" t="s">
        <v>152</v>
      </c>
      <c r="E7" t="s">
        <v>153</v>
      </c>
      <c r="H7" t="s">
        <v>152</v>
      </c>
      <c r="I7" t="s">
        <v>153</v>
      </c>
      <c r="K7" t="s">
        <v>152</v>
      </c>
      <c r="L7" t="s">
        <v>153</v>
      </c>
    </row>
    <row r="8" spans="1:15">
      <c r="D8" s="2">
        <v>30000</v>
      </c>
      <c r="F8">
        <f>D8*E8</f>
        <v>0</v>
      </c>
      <c r="H8" s="2">
        <v>30000</v>
      </c>
      <c r="I8" s="2">
        <v>1</v>
      </c>
      <c r="J8" s="2">
        <f>H8*I8</f>
        <v>30000</v>
      </c>
      <c r="K8" s="2">
        <v>30000</v>
      </c>
      <c r="L8" s="2">
        <v>1</v>
      </c>
      <c r="M8" s="2">
        <f>K8*L8</f>
        <v>30000</v>
      </c>
    </row>
    <row r="10" spans="1:15">
      <c r="D10" s="2"/>
      <c r="F10" s="2"/>
      <c r="H10" s="2"/>
      <c r="J10" s="2"/>
      <c r="K10" s="2"/>
      <c r="M10" s="2"/>
    </row>
    <row r="11" spans="1:15">
      <c r="E11" s="2"/>
      <c r="H11" t="s">
        <v>126</v>
      </c>
      <c r="I11" s="11"/>
      <c r="J11" s="11">
        <f>J10+J8</f>
        <v>30000</v>
      </c>
      <c r="K11" s="25" t="s">
        <v>126</v>
      </c>
      <c r="L11" s="26"/>
      <c r="M11" s="26">
        <f>M10+M8</f>
        <v>30000</v>
      </c>
    </row>
    <row r="12" spans="1:15">
      <c r="H12" t="s">
        <v>156</v>
      </c>
      <c r="I12" s="11"/>
      <c r="J12" s="11">
        <f>J11*12</f>
        <v>360000</v>
      </c>
      <c r="K12" s="25" t="s">
        <v>156</v>
      </c>
      <c r="L12" s="26"/>
      <c r="M12" s="26">
        <f>M11*12</f>
        <v>360000</v>
      </c>
    </row>
    <row r="13" spans="1:15">
      <c r="A13" t="s">
        <v>124</v>
      </c>
    </row>
    <row r="14" spans="1:15">
      <c r="A14" t="s">
        <v>658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5">
      <c r="B15" t="s">
        <v>140</v>
      </c>
      <c r="C15" s="26">
        <f>$J$11</f>
        <v>30000</v>
      </c>
      <c r="D15" s="26">
        <f t="shared" ref="D15:N15" si="0">$J$11</f>
        <v>30000</v>
      </c>
      <c r="E15" s="26">
        <f t="shared" si="0"/>
        <v>30000</v>
      </c>
      <c r="F15" s="26">
        <f t="shared" si="0"/>
        <v>30000</v>
      </c>
      <c r="G15" s="26">
        <f t="shared" si="0"/>
        <v>30000</v>
      </c>
      <c r="H15" s="26">
        <f t="shared" si="0"/>
        <v>30000</v>
      </c>
      <c r="I15" s="26">
        <f t="shared" si="0"/>
        <v>30000</v>
      </c>
      <c r="J15" s="26">
        <f t="shared" si="0"/>
        <v>30000</v>
      </c>
      <c r="K15" s="26">
        <f t="shared" si="0"/>
        <v>30000</v>
      </c>
      <c r="L15" s="26">
        <f t="shared" si="0"/>
        <v>30000</v>
      </c>
      <c r="M15" s="26">
        <f t="shared" si="0"/>
        <v>30000</v>
      </c>
      <c r="N15" s="26">
        <f t="shared" si="0"/>
        <v>30000</v>
      </c>
      <c r="O15" s="3">
        <f>SUM(C15:N15)</f>
        <v>360000</v>
      </c>
    </row>
    <row r="16" spans="1:15">
      <c r="B16" t="s">
        <v>141</v>
      </c>
      <c r="C16" s="2">
        <v>30000</v>
      </c>
      <c r="D16" s="2">
        <v>30000</v>
      </c>
      <c r="E16" s="2">
        <v>30000</v>
      </c>
      <c r="F16" s="2">
        <v>30000</v>
      </c>
      <c r="G16" s="2">
        <v>30000</v>
      </c>
      <c r="H16" s="2">
        <v>30000</v>
      </c>
      <c r="I16" s="2">
        <v>30000</v>
      </c>
      <c r="J16" s="3">
        <v>30000</v>
      </c>
      <c r="K16" s="3">
        <v>30000</v>
      </c>
      <c r="L16" s="3">
        <v>30000</v>
      </c>
      <c r="M16" s="3">
        <v>30000</v>
      </c>
      <c r="N16" s="3">
        <v>30000</v>
      </c>
      <c r="O16" s="3">
        <f>SUM(C16:N16)</f>
        <v>360000</v>
      </c>
    </row>
    <row r="17" spans="1:15">
      <c r="N17" t="s">
        <v>164</v>
      </c>
      <c r="O17" s="3">
        <f>O16-O15</f>
        <v>0</v>
      </c>
    </row>
    <row r="18" spans="1:15">
      <c r="A18" t="s">
        <v>123</v>
      </c>
    </row>
    <row r="19" spans="1:15">
      <c r="A19" t="s">
        <v>658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5">
      <c r="B20" t="s">
        <v>140</v>
      </c>
      <c r="C20" s="11">
        <f>$J$11</f>
        <v>30000</v>
      </c>
      <c r="D20" s="11">
        <f t="shared" ref="D20:N20" si="1">$J$11</f>
        <v>30000</v>
      </c>
      <c r="E20" s="11">
        <f t="shared" si="1"/>
        <v>30000</v>
      </c>
      <c r="F20" s="11">
        <f t="shared" si="1"/>
        <v>30000</v>
      </c>
      <c r="G20" s="11">
        <f t="shared" si="1"/>
        <v>30000</v>
      </c>
      <c r="H20" s="11">
        <f t="shared" si="1"/>
        <v>30000</v>
      </c>
      <c r="I20" s="11">
        <f t="shared" si="1"/>
        <v>30000</v>
      </c>
      <c r="J20" s="11">
        <f t="shared" si="1"/>
        <v>30000</v>
      </c>
      <c r="K20" s="11">
        <f t="shared" si="1"/>
        <v>30000</v>
      </c>
      <c r="L20" s="11">
        <f t="shared" si="1"/>
        <v>30000</v>
      </c>
      <c r="M20" s="11">
        <f t="shared" si="1"/>
        <v>30000</v>
      </c>
      <c r="N20" s="11">
        <f t="shared" si="1"/>
        <v>30000</v>
      </c>
      <c r="O20" s="3">
        <f>SUM(C20:N20)</f>
        <v>360000</v>
      </c>
    </row>
    <row r="21" spans="1:15">
      <c r="B21" t="s">
        <v>141</v>
      </c>
      <c r="C21" s="11">
        <v>30000</v>
      </c>
      <c r="D21" s="11">
        <v>30000</v>
      </c>
      <c r="E21" s="11">
        <v>30000</v>
      </c>
      <c r="F21" s="11">
        <v>30000</v>
      </c>
      <c r="G21" s="11">
        <v>30000</v>
      </c>
      <c r="H21" s="11">
        <v>30000</v>
      </c>
      <c r="I21" s="11">
        <v>30000</v>
      </c>
      <c r="J21" s="3">
        <v>30000</v>
      </c>
      <c r="K21" s="3">
        <v>30000</v>
      </c>
      <c r="L21" s="3">
        <v>30000</v>
      </c>
      <c r="M21" s="3">
        <v>30000</v>
      </c>
      <c r="N21" s="3">
        <v>30000</v>
      </c>
      <c r="O21" s="3">
        <f>SUM(C21:N21)</f>
        <v>360000</v>
      </c>
    </row>
    <row r="22" spans="1:15">
      <c r="N22" t="s">
        <v>164</v>
      </c>
      <c r="O22" s="3">
        <f>O21-O20</f>
        <v>0</v>
      </c>
    </row>
  </sheetData>
  <phoneticPr fontId="6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2029-8017-45A4-9129-C6CA2A1BB089}">
  <sheetPr codeName="Sheet53">
    <tabColor rgb="FFFFC000"/>
  </sheetPr>
  <dimension ref="A4:S27"/>
  <sheetViews>
    <sheetView topLeftCell="A4" zoomScale="85" zoomScaleNormal="85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18.25" bestFit="1" customWidth="1"/>
    <col min="5" max="5" width="10.375" bestFit="1" customWidth="1"/>
    <col min="6" max="6" width="11.5" bestFit="1" customWidth="1"/>
    <col min="7" max="7" width="10.375" bestFit="1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4" spans="1:19" ht="22.5">
      <c r="D4" t="s">
        <v>659</v>
      </c>
      <c r="O4" s="270"/>
    </row>
    <row r="6" spans="1:19">
      <c r="D6" t="s">
        <v>147</v>
      </c>
      <c r="H6" t="s">
        <v>123</v>
      </c>
      <c r="K6" t="s">
        <v>124</v>
      </c>
    </row>
    <row r="7" spans="1:19">
      <c r="D7" t="s">
        <v>152</v>
      </c>
      <c r="E7" t="s">
        <v>153</v>
      </c>
      <c r="H7" t="s">
        <v>152</v>
      </c>
      <c r="I7" t="s">
        <v>153</v>
      </c>
      <c r="K7" t="s">
        <v>152</v>
      </c>
      <c r="L7" t="s">
        <v>153</v>
      </c>
    </row>
    <row r="8" spans="1:19">
      <c r="D8" s="2">
        <v>448500</v>
      </c>
      <c r="F8">
        <f>D8*E8</f>
        <v>0</v>
      </c>
      <c r="H8" s="2">
        <v>448500</v>
      </c>
      <c r="I8" s="2">
        <v>1</v>
      </c>
      <c r="J8" s="2">
        <f>H8*I8</f>
        <v>448500</v>
      </c>
      <c r="K8" s="2">
        <v>448500</v>
      </c>
      <c r="L8" s="2">
        <v>3</v>
      </c>
      <c r="M8" s="2">
        <f>K8*L8</f>
        <v>1345500</v>
      </c>
    </row>
    <row r="9" spans="1:19">
      <c r="K9" s="2">
        <v>520260</v>
      </c>
      <c r="L9" s="2">
        <v>9</v>
      </c>
      <c r="M9" s="2">
        <f>K9*L9</f>
        <v>4682340</v>
      </c>
    </row>
    <row r="10" spans="1:19">
      <c r="D10" s="2"/>
      <c r="F10" s="2"/>
      <c r="H10" s="2"/>
      <c r="J10" s="2"/>
      <c r="K10" s="2"/>
      <c r="M10" s="2"/>
    </row>
    <row r="11" spans="1:19">
      <c r="E11" s="2"/>
      <c r="H11" t="s">
        <v>126</v>
      </c>
      <c r="I11" s="11"/>
      <c r="J11" s="11">
        <f>J10+J8</f>
        <v>448500</v>
      </c>
      <c r="K11" s="25" t="s">
        <v>126</v>
      </c>
      <c r="L11" s="26"/>
      <c r="M11" s="26">
        <f>(M8+M9)/12</f>
        <v>502320</v>
      </c>
    </row>
    <row r="12" spans="1:19">
      <c r="H12" t="s">
        <v>156</v>
      </c>
      <c r="I12" s="11"/>
      <c r="J12" s="11">
        <f>J11*12</f>
        <v>5382000</v>
      </c>
      <c r="K12" s="25" t="s">
        <v>156</v>
      </c>
      <c r="L12" s="26"/>
      <c r="M12" s="26">
        <f>M11*12</f>
        <v>6027840</v>
      </c>
    </row>
    <row r="13" spans="1:19">
      <c r="A13" t="s">
        <v>124</v>
      </c>
      <c r="F13" t="s">
        <v>660</v>
      </c>
    </row>
    <row r="14" spans="1:19">
      <c r="A14" t="s">
        <v>661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 spans="1:19">
      <c r="B15" t="s">
        <v>140</v>
      </c>
      <c r="C15" s="26">
        <f>$J$11</f>
        <v>448500</v>
      </c>
      <c r="D15" s="26">
        <f t="shared" ref="D15:E15" si="0">$J$11</f>
        <v>448500</v>
      </c>
      <c r="E15" s="26">
        <f t="shared" si="0"/>
        <v>448500</v>
      </c>
      <c r="F15" s="26">
        <v>520260</v>
      </c>
      <c r="G15" s="26">
        <v>520260</v>
      </c>
      <c r="H15" s="26">
        <v>520260</v>
      </c>
      <c r="I15" s="26">
        <v>520260</v>
      </c>
      <c r="J15" s="26">
        <v>520260</v>
      </c>
      <c r="K15" s="26">
        <v>520260</v>
      </c>
      <c r="L15" s="26">
        <v>520260</v>
      </c>
      <c r="M15" s="26">
        <v>520260</v>
      </c>
      <c r="N15" s="26">
        <v>520260</v>
      </c>
      <c r="O15" s="3">
        <f>SUM(C15:N15)</f>
        <v>6027840</v>
      </c>
      <c r="P15" t="s">
        <v>513</v>
      </c>
      <c r="S15" s="3">
        <f>O15-O21</f>
        <v>645840</v>
      </c>
    </row>
    <row r="16" spans="1:19" ht="22.5">
      <c r="B16" t="s">
        <v>141</v>
      </c>
      <c r="C16" s="2"/>
      <c r="D16" s="2"/>
      <c r="E16" s="2"/>
      <c r="F16" s="270"/>
      <c r="G16" s="2"/>
      <c r="H16" s="2"/>
      <c r="I16" s="2"/>
      <c r="J16" s="3"/>
      <c r="K16" s="3"/>
      <c r="L16" s="3"/>
      <c r="M16" s="3"/>
      <c r="N16" s="3"/>
      <c r="O16" s="3">
        <f>SUM(C16:N16)</f>
        <v>0</v>
      </c>
      <c r="P16" t="s">
        <v>410</v>
      </c>
      <c r="S16" s="3">
        <f>O15-O22</f>
        <v>645840</v>
      </c>
    </row>
    <row r="17" spans="1:15">
      <c r="N17" t="s">
        <v>164</v>
      </c>
      <c r="O17" s="3">
        <f>O16-O15</f>
        <v>-6027840</v>
      </c>
    </row>
    <row r="19" spans="1:15">
      <c r="A19" t="s">
        <v>123</v>
      </c>
    </row>
    <row r="20" spans="1:15">
      <c r="A20" t="s">
        <v>661</v>
      </c>
      <c r="C20" t="s">
        <v>127</v>
      </c>
      <c r="D20" t="s">
        <v>159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 t="s">
        <v>135</v>
      </c>
      <c r="L20" t="s">
        <v>136</v>
      </c>
      <c r="M20" t="s">
        <v>137</v>
      </c>
      <c r="N20" t="s">
        <v>138</v>
      </c>
    </row>
    <row r="21" spans="1:15">
      <c r="B21" t="s">
        <v>140</v>
      </c>
      <c r="C21" s="11">
        <f>$J$11</f>
        <v>448500</v>
      </c>
      <c r="D21" s="11">
        <f t="shared" ref="D21:N21" si="1">$J$11</f>
        <v>448500</v>
      </c>
      <c r="E21" s="11">
        <f t="shared" si="1"/>
        <v>448500</v>
      </c>
      <c r="F21" s="11">
        <f t="shared" si="1"/>
        <v>448500</v>
      </c>
      <c r="G21" s="11">
        <f t="shared" si="1"/>
        <v>448500</v>
      </c>
      <c r="H21" s="11">
        <f t="shared" si="1"/>
        <v>448500</v>
      </c>
      <c r="I21" s="11">
        <f t="shared" si="1"/>
        <v>448500</v>
      </c>
      <c r="J21" s="11">
        <f t="shared" si="1"/>
        <v>448500</v>
      </c>
      <c r="K21" s="11">
        <f t="shared" si="1"/>
        <v>448500</v>
      </c>
      <c r="L21" s="11">
        <f t="shared" si="1"/>
        <v>448500</v>
      </c>
      <c r="M21" s="11">
        <f t="shared" si="1"/>
        <v>448500</v>
      </c>
      <c r="N21" s="11">
        <f t="shared" si="1"/>
        <v>448500</v>
      </c>
      <c r="O21" s="3">
        <f>SUM(C21:N21)</f>
        <v>5382000</v>
      </c>
    </row>
    <row r="22" spans="1:15">
      <c r="B22" t="s">
        <v>141</v>
      </c>
      <c r="C22" s="2">
        <v>448500</v>
      </c>
      <c r="D22" s="2">
        <v>448500</v>
      </c>
      <c r="E22" s="2">
        <v>448500</v>
      </c>
      <c r="F22" s="2">
        <v>448500</v>
      </c>
      <c r="G22" s="2">
        <v>448500</v>
      </c>
      <c r="H22" s="2">
        <v>448500</v>
      </c>
      <c r="I22" s="2">
        <v>448500</v>
      </c>
      <c r="J22" s="3">
        <v>448500</v>
      </c>
      <c r="K22" s="3">
        <v>448500</v>
      </c>
      <c r="L22" s="3">
        <v>448500</v>
      </c>
      <c r="M22" s="3">
        <v>448500</v>
      </c>
      <c r="N22" s="3">
        <v>448500</v>
      </c>
      <c r="O22" s="3">
        <f>SUM(C22:N22)</f>
        <v>5382000</v>
      </c>
    </row>
    <row r="23" spans="1:15">
      <c r="N23" t="s">
        <v>164</v>
      </c>
      <c r="O23" s="3">
        <f>O22-O21</f>
        <v>0</v>
      </c>
    </row>
    <row r="27" spans="1:15">
      <c r="M27" s="134">
        <v>258900</v>
      </c>
    </row>
  </sheetData>
  <phoneticPr fontId="6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72FB-EB24-4830-84D8-E45D89100734}">
  <sheetPr codeName="Sheet54">
    <tabColor rgb="FFFFC000"/>
  </sheetPr>
  <dimension ref="A2:S42"/>
  <sheetViews>
    <sheetView topLeftCell="A13" zoomScale="70" zoomScaleNormal="70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20.125" customWidth="1"/>
    <col min="5" max="6" width="13.375" bestFit="1" customWidth="1"/>
    <col min="7" max="7" width="24.125" customWidth="1"/>
    <col min="8" max="8" width="35" customWidth="1"/>
    <col min="9" max="9" width="11.5" bestFit="1" customWidth="1"/>
    <col min="10" max="14" width="10.375" bestFit="1" customWidth="1"/>
    <col min="15" max="15" width="14.875" customWidth="1"/>
  </cols>
  <sheetData>
    <row r="2" spans="3:8">
      <c r="H2" t="s">
        <v>662</v>
      </c>
    </row>
    <row r="3" spans="3:8">
      <c r="C3" t="s">
        <v>663</v>
      </c>
    </row>
    <row r="4" spans="3:8">
      <c r="F4" t="s">
        <v>440</v>
      </c>
      <c r="G4" t="s">
        <v>664</v>
      </c>
    </row>
    <row r="5" spans="3:8">
      <c r="D5" t="s">
        <v>665</v>
      </c>
      <c r="E5" t="s">
        <v>666</v>
      </c>
      <c r="F5" t="s">
        <v>126</v>
      </c>
      <c r="G5" t="s">
        <v>126</v>
      </c>
      <c r="H5" t="s">
        <v>667</v>
      </c>
    </row>
    <row r="6" spans="3:8">
      <c r="D6" t="s">
        <v>668</v>
      </c>
      <c r="E6" t="s">
        <v>669</v>
      </c>
      <c r="F6" s="2">
        <v>507600</v>
      </c>
      <c r="G6" s="2">
        <v>558360</v>
      </c>
      <c r="H6" t="s">
        <v>670</v>
      </c>
    </row>
    <row r="7" spans="3:8">
      <c r="D7" t="s">
        <v>671</v>
      </c>
      <c r="E7" t="s">
        <v>672</v>
      </c>
      <c r="F7" s="2">
        <v>5800</v>
      </c>
      <c r="G7" s="2">
        <v>5800</v>
      </c>
    </row>
    <row r="8" spans="3:8">
      <c r="E8" t="s">
        <v>673</v>
      </c>
      <c r="F8" s="2">
        <v>15000</v>
      </c>
      <c r="G8" s="2">
        <v>15000</v>
      </c>
    </row>
    <row r="9" spans="3:8">
      <c r="D9" t="s">
        <v>674</v>
      </c>
      <c r="E9" t="s">
        <v>675</v>
      </c>
      <c r="F9" s="2">
        <v>15000</v>
      </c>
      <c r="G9" s="2">
        <v>15000</v>
      </c>
    </row>
    <row r="10" spans="3:8">
      <c r="E10" t="s">
        <v>676</v>
      </c>
      <c r="F10" s="2">
        <v>15000</v>
      </c>
      <c r="G10" s="2">
        <v>15000</v>
      </c>
    </row>
    <row r="11" spans="3:8">
      <c r="E11" t="s">
        <v>677</v>
      </c>
      <c r="F11" s="2">
        <v>15000</v>
      </c>
      <c r="G11" s="2">
        <v>15000</v>
      </c>
    </row>
    <row r="12" spans="3:8">
      <c r="D12" t="s">
        <v>678</v>
      </c>
      <c r="E12" t="s">
        <v>679</v>
      </c>
      <c r="F12" s="2">
        <v>3000</v>
      </c>
      <c r="G12" s="2">
        <v>3000</v>
      </c>
    </row>
    <row r="13" spans="3:8">
      <c r="D13" t="s">
        <v>268</v>
      </c>
      <c r="F13" s="3">
        <f>SUM(F6:F12)</f>
        <v>576400</v>
      </c>
      <c r="G13" s="3">
        <f>SUM(G6:G12)</f>
        <v>627160</v>
      </c>
    </row>
    <row r="23" spans="1:19">
      <c r="D23" t="s">
        <v>147</v>
      </c>
      <c r="H23" t="s">
        <v>123</v>
      </c>
    </row>
    <row r="24" spans="1:19">
      <c r="D24" t="s">
        <v>152</v>
      </c>
      <c r="E24" t="s">
        <v>153</v>
      </c>
      <c r="H24" t="s">
        <v>152</v>
      </c>
      <c r="I24" t="s">
        <v>153</v>
      </c>
    </row>
    <row r="25" spans="1:19">
      <c r="D25" s="2">
        <f>F13</f>
        <v>576400</v>
      </c>
      <c r="F25">
        <f>D25*E25</f>
        <v>0</v>
      </c>
      <c r="H25" s="2">
        <f>F13</f>
        <v>576400</v>
      </c>
      <c r="I25" s="2">
        <v>1</v>
      </c>
      <c r="J25" s="2">
        <f>H25*I25</f>
        <v>576400</v>
      </c>
    </row>
    <row r="27" spans="1:19">
      <c r="D27" s="2"/>
      <c r="F27" s="2"/>
      <c r="H27" s="2"/>
      <c r="J27" s="2"/>
    </row>
    <row r="28" spans="1:19">
      <c r="E28" s="2"/>
      <c r="H28" t="s">
        <v>126</v>
      </c>
      <c r="I28" s="11"/>
      <c r="J28" s="11">
        <f>J27+J25</f>
        <v>576400</v>
      </c>
    </row>
    <row r="29" spans="1:19">
      <c r="H29" t="s">
        <v>156</v>
      </c>
      <c r="I29" s="11"/>
      <c r="J29" s="11">
        <f>J28*12</f>
        <v>6916800</v>
      </c>
    </row>
    <row r="30" spans="1:19">
      <c r="A30" t="s">
        <v>124</v>
      </c>
    </row>
    <row r="31" spans="1:19">
      <c r="A31" t="s">
        <v>663</v>
      </c>
      <c r="C31" t="s">
        <v>127</v>
      </c>
      <c r="D31" t="s">
        <v>159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137</v>
      </c>
      <c r="N31" t="s">
        <v>138</v>
      </c>
    </row>
    <row r="32" spans="1:19">
      <c r="B32" t="s">
        <v>140</v>
      </c>
      <c r="C32" s="26">
        <f>$J$28</f>
        <v>576400</v>
      </c>
      <c r="D32" s="26">
        <f t="shared" ref="D32:E32" si="0">$J$28</f>
        <v>576400</v>
      </c>
      <c r="E32" s="26">
        <f t="shared" si="0"/>
        <v>576400</v>
      </c>
      <c r="F32" s="26">
        <f>$G$13</f>
        <v>627160</v>
      </c>
      <c r="G32" s="26">
        <f t="shared" ref="G32:N32" si="1">$G$13</f>
        <v>627160</v>
      </c>
      <c r="H32" s="26">
        <f t="shared" si="1"/>
        <v>627160</v>
      </c>
      <c r="I32" s="26">
        <f t="shared" si="1"/>
        <v>627160</v>
      </c>
      <c r="J32" s="26">
        <f t="shared" si="1"/>
        <v>627160</v>
      </c>
      <c r="K32" s="26">
        <f t="shared" si="1"/>
        <v>627160</v>
      </c>
      <c r="L32" s="26">
        <f t="shared" si="1"/>
        <v>627160</v>
      </c>
      <c r="M32" s="26">
        <f t="shared" si="1"/>
        <v>627160</v>
      </c>
      <c r="N32" s="26">
        <f t="shared" si="1"/>
        <v>627160</v>
      </c>
      <c r="O32" s="3">
        <f>SUM(C32:N32)</f>
        <v>7373640</v>
      </c>
      <c r="P32" t="s">
        <v>513</v>
      </c>
      <c r="S32" s="3">
        <f>O32-O38</f>
        <v>456840</v>
      </c>
    </row>
    <row r="33" spans="1:19">
      <c r="B33" t="s">
        <v>141</v>
      </c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>
        <f>SUM(C33:N33)</f>
        <v>0</v>
      </c>
      <c r="P33" t="s">
        <v>410</v>
      </c>
      <c r="S33" s="3">
        <f>O32-O39</f>
        <v>456840</v>
      </c>
    </row>
    <row r="34" spans="1:19">
      <c r="N34" t="s">
        <v>164</v>
      </c>
      <c r="O34" s="3">
        <f>O33-O32</f>
        <v>-7373640</v>
      </c>
    </row>
    <row r="36" spans="1:19">
      <c r="A36" t="s">
        <v>123</v>
      </c>
    </row>
    <row r="37" spans="1:19">
      <c r="A37" t="s">
        <v>663</v>
      </c>
      <c r="C37" t="s">
        <v>127</v>
      </c>
      <c r="D37" t="s">
        <v>159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</row>
    <row r="38" spans="1:19">
      <c r="B38" t="s">
        <v>140</v>
      </c>
      <c r="C38" s="11">
        <f>$J$28</f>
        <v>576400</v>
      </c>
      <c r="D38" s="11">
        <f t="shared" ref="D38:N38" si="2">$J$28</f>
        <v>576400</v>
      </c>
      <c r="E38" s="11">
        <f t="shared" si="2"/>
        <v>576400</v>
      </c>
      <c r="F38" s="11">
        <f t="shared" si="2"/>
        <v>576400</v>
      </c>
      <c r="G38" s="11">
        <f t="shared" si="2"/>
        <v>576400</v>
      </c>
      <c r="H38" s="11">
        <f t="shared" si="2"/>
        <v>576400</v>
      </c>
      <c r="I38" s="11">
        <f t="shared" si="2"/>
        <v>576400</v>
      </c>
      <c r="J38" s="11">
        <f t="shared" si="2"/>
        <v>576400</v>
      </c>
      <c r="K38" s="11">
        <f t="shared" si="2"/>
        <v>576400</v>
      </c>
      <c r="L38" s="11">
        <f t="shared" si="2"/>
        <v>576400</v>
      </c>
      <c r="M38" s="11">
        <f t="shared" si="2"/>
        <v>576400</v>
      </c>
      <c r="N38" s="11">
        <f t="shared" si="2"/>
        <v>576400</v>
      </c>
      <c r="O38" s="3">
        <f>SUM(C38:N38)</f>
        <v>6916800</v>
      </c>
    </row>
    <row r="39" spans="1:19">
      <c r="B39" t="s">
        <v>141</v>
      </c>
      <c r="C39" s="2">
        <v>576400</v>
      </c>
      <c r="D39" s="2">
        <v>576400</v>
      </c>
      <c r="E39" s="2">
        <v>576400</v>
      </c>
      <c r="F39" s="2">
        <v>576400</v>
      </c>
      <c r="G39" s="2">
        <v>576400</v>
      </c>
      <c r="H39" s="2">
        <v>507600</v>
      </c>
      <c r="I39" s="2">
        <v>507600</v>
      </c>
      <c r="J39" s="3">
        <v>507600</v>
      </c>
      <c r="K39" s="3">
        <v>507600</v>
      </c>
      <c r="L39" s="3">
        <v>507600</v>
      </c>
      <c r="M39" s="3">
        <v>576400</v>
      </c>
      <c r="N39" s="3">
        <v>576400</v>
      </c>
      <c r="O39" s="3">
        <f>SUM(C39:N42)</f>
        <v>6916800</v>
      </c>
    </row>
    <row r="40" spans="1:19">
      <c r="G40" s="300" t="s">
        <v>680</v>
      </c>
      <c r="H40" s="134">
        <v>20800</v>
      </c>
      <c r="I40" s="134">
        <v>20800</v>
      </c>
      <c r="J40" s="297">
        <v>20800</v>
      </c>
      <c r="K40" s="297">
        <v>20800</v>
      </c>
      <c r="L40" s="297">
        <v>20800</v>
      </c>
      <c r="O40" s="3"/>
    </row>
    <row r="41" spans="1:19">
      <c r="G41" s="300" t="s">
        <v>681</v>
      </c>
      <c r="H41" s="134">
        <v>45000</v>
      </c>
      <c r="I41" s="134">
        <v>45000</v>
      </c>
      <c r="J41" s="297">
        <v>45000</v>
      </c>
      <c r="K41" s="297">
        <v>45000</v>
      </c>
      <c r="L41" s="297">
        <v>45000</v>
      </c>
    </row>
    <row r="42" spans="1:19">
      <c r="G42" s="300" t="s">
        <v>682</v>
      </c>
      <c r="H42" s="134">
        <v>3000</v>
      </c>
      <c r="I42" s="134">
        <v>3000</v>
      </c>
      <c r="J42" s="297">
        <v>3000</v>
      </c>
      <c r="K42" s="297">
        <v>3000</v>
      </c>
      <c r="L42" s="297">
        <v>3000</v>
      </c>
    </row>
  </sheetData>
  <phoneticPr fontId="6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FB04-079B-40D4-97E5-954A9A68226C}">
  <sheetPr codeName="Sheet3">
    <tabColor rgb="FFFFC000"/>
  </sheetPr>
  <dimension ref="A2:V41"/>
  <sheetViews>
    <sheetView zoomScale="85" zoomScaleNormal="85" workbookViewId="0">
      <selection activeCell="K20" sqref="K20"/>
    </sheetView>
  </sheetViews>
  <sheetFormatPr defaultRowHeight="18"/>
  <cols>
    <col min="2" max="2" width="12.375" bestFit="1" customWidth="1"/>
    <col min="6" max="6" width="13.25" bestFit="1" customWidth="1"/>
    <col min="7" max="7" width="11.625" customWidth="1"/>
    <col min="8" max="8" width="14.875" customWidth="1"/>
    <col min="9" max="9" width="10.375" customWidth="1"/>
    <col min="10" max="10" width="12.25" customWidth="1"/>
    <col min="11" max="11" width="11.625" customWidth="1"/>
    <col min="12" max="12" width="13.625" customWidth="1"/>
    <col min="13" max="13" width="13" customWidth="1"/>
    <col min="14" max="14" width="10.75" customWidth="1"/>
    <col min="15" max="15" width="11.375" customWidth="1"/>
    <col min="16" max="16" width="12.125" customWidth="1"/>
    <col min="17" max="17" width="11.125" customWidth="1"/>
    <col min="18" max="18" width="10.625" customWidth="1"/>
    <col min="19" max="19" width="10.375" customWidth="1"/>
    <col min="20" max="20" width="11.625" customWidth="1"/>
  </cols>
  <sheetData>
    <row r="2" spans="1:22">
      <c r="G2" t="s">
        <v>683</v>
      </c>
      <c r="J2" t="s">
        <v>684</v>
      </c>
      <c r="K2" t="s">
        <v>685</v>
      </c>
    </row>
    <row r="3" spans="1:22">
      <c r="G3" t="s">
        <v>686</v>
      </c>
      <c r="J3" t="s">
        <v>687</v>
      </c>
      <c r="K3" t="s">
        <v>688</v>
      </c>
    </row>
    <row r="4" spans="1:22">
      <c r="G4" t="s">
        <v>689</v>
      </c>
      <c r="J4" t="s">
        <v>690</v>
      </c>
      <c r="K4" t="s">
        <v>690</v>
      </c>
    </row>
    <row r="7" spans="1:22">
      <c r="E7" t="s">
        <v>691</v>
      </c>
    </row>
    <row r="8" spans="1:22">
      <c r="E8" t="s">
        <v>692</v>
      </c>
      <c r="F8" t="s">
        <v>693</v>
      </c>
      <c r="G8" t="s">
        <v>694</v>
      </c>
      <c r="H8" t="s">
        <v>695</v>
      </c>
      <c r="I8" t="s">
        <v>696</v>
      </c>
      <c r="J8" t="s">
        <v>697</v>
      </c>
      <c r="K8" t="s">
        <v>698</v>
      </c>
      <c r="L8" t="s">
        <v>699</v>
      </c>
      <c r="M8" t="s">
        <v>700</v>
      </c>
      <c r="N8" t="s">
        <v>701</v>
      </c>
      <c r="O8" t="s">
        <v>702</v>
      </c>
      <c r="P8" t="s">
        <v>703</v>
      </c>
      <c r="S8" s="25" t="s">
        <v>704</v>
      </c>
      <c r="T8" s="25"/>
      <c r="U8" s="25"/>
      <c r="V8" s="25"/>
    </row>
    <row r="9" spans="1:22">
      <c r="C9" t="s">
        <v>705</v>
      </c>
      <c r="E9">
        <v>25</v>
      </c>
      <c r="F9">
        <v>16</v>
      </c>
      <c r="G9">
        <v>24</v>
      </c>
      <c r="H9">
        <v>22</v>
      </c>
      <c r="I9">
        <v>51</v>
      </c>
      <c r="J9">
        <v>19</v>
      </c>
      <c r="K9">
        <v>52</v>
      </c>
      <c r="L9">
        <v>7</v>
      </c>
      <c r="M9">
        <v>99</v>
      </c>
      <c r="N9">
        <v>113</v>
      </c>
      <c r="O9">
        <v>67</v>
      </c>
      <c r="P9">
        <v>13</v>
      </c>
      <c r="S9" s="25"/>
      <c r="T9" s="25"/>
      <c r="U9" s="25"/>
      <c r="V9" s="25"/>
    </row>
    <row r="10" spans="1:22">
      <c r="C10" t="s">
        <v>706</v>
      </c>
      <c r="E10">
        <f>E9</f>
        <v>25</v>
      </c>
      <c r="F10">
        <f>F9+E10</f>
        <v>41</v>
      </c>
      <c r="G10">
        <f t="shared" ref="G10:H10" si="0">G9+F10</f>
        <v>65</v>
      </c>
      <c r="H10">
        <f t="shared" si="0"/>
        <v>87</v>
      </c>
      <c r="I10">
        <v>51</v>
      </c>
      <c r="J10">
        <f t="shared" ref="J10:L10" si="1">J9+I10</f>
        <v>70</v>
      </c>
      <c r="K10">
        <f t="shared" si="1"/>
        <v>122</v>
      </c>
      <c r="L10">
        <f t="shared" si="1"/>
        <v>129</v>
      </c>
      <c r="M10">
        <f t="shared" ref="M10" si="2">M9+L10</f>
        <v>228</v>
      </c>
      <c r="N10">
        <f t="shared" ref="N10" si="3">N9+M10</f>
        <v>341</v>
      </c>
      <c r="O10">
        <v>67</v>
      </c>
      <c r="P10">
        <f t="shared" ref="P10" si="4">P9+O10</f>
        <v>80</v>
      </c>
      <c r="S10" s="25" t="s">
        <v>707</v>
      </c>
      <c r="T10" s="25"/>
      <c r="U10" s="25"/>
      <c r="V10" s="25"/>
    </row>
    <row r="11" spans="1:22">
      <c r="H11" s="111" t="s">
        <v>708</v>
      </c>
      <c r="I11" s="111"/>
      <c r="N11" s="111" t="s">
        <v>709</v>
      </c>
      <c r="S11" s="25"/>
      <c r="T11" s="25"/>
      <c r="U11" s="25"/>
      <c r="V11" s="25"/>
    </row>
    <row r="12" spans="1:22">
      <c r="C12" t="s">
        <v>710</v>
      </c>
      <c r="I12">
        <v>400</v>
      </c>
      <c r="O12">
        <v>200</v>
      </c>
      <c r="S12" s="25" t="s">
        <v>711</v>
      </c>
      <c r="T12" s="25"/>
      <c r="U12" s="25"/>
      <c r="V12" s="25"/>
    </row>
    <row r="13" spans="1:22">
      <c r="C13" t="s">
        <v>712</v>
      </c>
      <c r="J13">
        <v>100</v>
      </c>
      <c r="S13" s="25" t="s">
        <v>713</v>
      </c>
      <c r="T13" s="25"/>
      <c r="U13" s="25"/>
      <c r="V13" s="25"/>
    </row>
    <row r="14" spans="1:22">
      <c r="C14" t="s">
        <v>714</v>
      </c>
      <c r="D14" t="s">
        <v>715</v>
      </c>
      <c r="I14" s="2">
        <f>310*400</f>
        <v>124000</v>
      </c>
      <c r="J14" s="2">
        <f>310*100</f>
        <v>31000</v>
      </c>
      <c r="O14" s="2">
        <f>310*200</f>
        <v>62000</v>
      </c>
    </row>
    <row r="15" spans="1:22">
      <c r="A15" t="s">
        <v>716</v>
      </c>
      <c r="J15" t="s">
        <v>717</v>
      </c>
    </row>
    <row r="16" spans="1:22">
      <c r="A16" t="s">
        <v>718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134</v>
      </c>
      <c r="O16" t="s">
        <v>135</v>
      </c>
      <c r="P16" t="s">
        <v>136</v>
      </c>
      <c r="Q16" t="s">
        <v>137</v>
      </c>
      <c r="R16" t="s">
        <v>138</v>
      </c>
    </row>
    <row r="17" spans="1:22">
      <c r="B17" s="95" t="s">
        <v>719</v>
      </c>
      <c r="C17" s="95"/>
      <c r="D17" s="95"/>
      <c r="E17" s="96" t="s">
        <v>718</v>
      </c>
      <c r="F17" t="s">
        <v>140</v>
      </c>
      <c r="G17" s="133">
        <f>G18+G19</f>
        <v>150000</v>
      </c>
      <c r="H17" s="133">
        <f t="shared" ref="H17:R17" si="5">H18+H19</f>
        <v>150000</v>
      </c>
      <c r="I17" s="133">
        <f t="shared" si="5"/>
        <v>274000</v>
      </c>
      <c r="J17" s="133">
        <f t="shared" si="5"/>
        <v>181000</v>
      </c>
      <c r="K17" s="133">
        <f t="shared" si="5"/>
        <v>150000</v>
      </c>
      <c r="L17" s="133">
        <f t="shared" si="5"/>
        <v>150000</v>
      </c>
      <c r="M17" s="133">
        <f t="shared" si="5"/>
        <v>150000</v>
      </c>
      <c r="N17" s="133">
        <f t="shared" si="5"/>
        <v>150000</v>
      </c>
      <c r="O17" s="133">
        <f t="shared" si="5"/>
        <v>212000</v>
      </c>
      <c r="P17" s="133">
        <f t="shared" si="5"/>
        <v>150000</v>
      </c>
      <c r="Q17" s="133">
        <f t="shared" si="5"/>
        <v>150000</v>
      </c>
      <c r="R17" s="133">
        <f t="shared" si="5"/>
        <v>150000</v>
      </c>
      <c r="S17" s="328">
        <f>SUM(G17:R17)</f>
        <v>2017000</v>
      </c>
      <c r="T17" t="s">
        <v>513</v>
      </c>
      <c r="V17" s="1">
        <f>S17-S23</f>
        <v>217000</v>
      </c>
    </row>
    <row r="18" spans="1:22">
      <c r="F18" t="s">
        <v>720</v>
      </c>
      <c r="G18" s="201">
        <v>150000</v>
      </c>
      <c r="H18" s="201">
        <v>150000</v>
      </c>
      <c r="I18" s="201">
        <v>150000</v>
      </c>
      <c r="J18" s="201">
        <v>150000</v>
      </c>
      <c r="K18" s="201">
        <v>150000</v>
      </c>
      <c r="L18" s="201">
        <v>150000</v>
      </c>
      <c r="M18" s="201">
        <v>150000</v>
      </c>
      <c r="N18" s="201">
        <v>150000</v>
      </c>
      <c r="O18" s="201">
        <v>150000</v>
      </c>
      <c r="P18" s="201">
        <v>150000</v>
      </c>
      <c r="Q18" s="201">
        <v>150000</v>
      </c>
      <c r="R18" s="201">
        <v>150000</v>
      </c>
      <c r="S18" s="3"/>
      <c r="T18" t="s">
        <v>410</v>
      </c>
      <c r="V18" s="1">
        <f>S17-S24</f>
        <v>46313</v>
      </c>
    </row>
    <row r="19" spans="1:22">
      <c r="F19" t="s">
        <v>721</v>
      </c>
      <c r="G19" s="201"/>
      <c r="H19" s="201"/>
      <c r="I19" s="201">
        <v>124000</v>
      </c>
      <c r="J19" s="201">
        <v>31000</v>
      </c>
      <c r="K19" s="201"/>
      <c r="L19" s="201"/>
      <c r="M19" s="327"/>
      <c r="N19" s="201"/>
      <c r="O19" s="201">
        <v>62000</v>
      </c>
      <c r="P19" s="201"/>
      <c r="Q19" s="201"/>
      <c r="R19" s="201"/>
      <c r="S19" s="3"/>
    </row>
    <row r="20" spans="1:22">
      <c r="E20" t="s">
        <v>141</v>
      </c>
      <c r="G20" s="2"/>
      <c r="K20" s="2"/>
      <c r="L20" s="100"/>
      <c r="N20" s="100"/>
      <c r="O20" s="100"/>
      <c r="P20" s="100"/>
      <c r="Q20" s="100"/>
      <c r="R20" s="100"/>
      <c r="S20" s="3"/>
    </row>
    <row r="21" spans="1:22">
      <c r="G21" s="2"/>
      <c r="K21" s="2"/>
      <c r="L21" s="100"/>
      <c r="N21" s="100"/>
      <c r="O21" s="100"/>
      <c r="P21" s="100"/>
      <c r="Q21" s="100"/>
      <c r="R21" s="100"/>
      <c r="S21" s="3"/>
    </row>
    <row r="22" spans="1:22">
      <c r="A22" s="2"/>
      <c r="B22" s="2"/>
      <c r="C22" s="2"/>
      <c r="G22" s="2"/>
      <c r="H22" s="2"/>
      <c r="I22" s="2"/>
      <c r="J22" s="2"/>
      <c r="K22" s="2"/>
      <c r="L22" s="100"/>
      <c r="M22" s="100"/>
      <c r="N22" s="100"/>
      <c r="O22" s="100"/>
      <c r="P22" s="100"/>
      <c r="Q22" s="100"/>
      <c r="R22" s="100"/>
      <c r="S22" s="3"/>
    </row>
    <row r="23" spans="1:22">
      <c r="B23" t="s">
        <v>722</v>
      </c>
      <c r="C23" s="95" t="s">
        <v>719</v>
      </c>
      <c r="D23" s="95"/>
      <c r="E23" s="95"/>
      <c r="F23" s="96" t="s">
        <v>718</v>
      </c>
      <c r="G23" s="301">
        <v>150000</v>
      </c>
      <c r="H23" s="301">
        <v>150000</v>
      </c>
      <c r="I23" s="301">
        <v>150000</v>
      </c>
      <c r="J23" s="301">
        <f>150000</f>
        <v>150000</v>
      </c>
      <c r="K23" s="301">
        <v>150000</v>
      </c>
      <c r="L23" s="301">
        <v>150000</v>
      </c>
      <c r="M23" s="301">
        <v>150000</v>
      </c>
      <c r="N23" s="301">
        <v>150000</v>
      </c>
      <c r="O23" s="301">
        <v>150000</v>
      </c>
      <c r="P23" s="301">
        <v>150000</v>
      </c>
      <c r="Q23" s="301">
        <v>150000</v>
      </c>
      <c r="R23" s="302">
        <v>150000</v>
      </c>
      <c r="S23" s="328">
        <f>SUM(G23:R23)</f>
        <v>1800000</v>
      </c>
    </row>
    <row r="24" spans="1:22">
      <c r="B24" t="s">
        <v>141</v>
      </c>
      <c r="G24" s="201">
        <v>131596</v>
      </c>
      <c r="H24" s="201">
        <v>133433</v>
      </c>
      <c r="I24" s="201">
        <v>132264</v>
      </c>
      <c r="J24" s="2">
        <v>133600</v>
      </c>
      <c r="K24" s="201">
        <v>135939</v>
      </c>
      <c r="L24" s="201">
        <v>136272</v>
      </c>
      <c r="M24" s="201">
        <v>141115</v>
      </c>
      <c r="N24" s="201">
        <v>180624</v>
      </c>
      <c r="O24" s="201">
        <v>146793</v>
      </c>
      <c r="P24" s="201">
        <v>149298</v>
      </c>
      <c r="Q24" s="201">
        <v>148129</v>
      </c>
      <c r="R24" s="201">
        <v>150000</v>
      </c>
      <c r="S24" s="3">
        <f>SUM(G24:R25)</f>
        <v>1970687</v>
      </c>
    </row>
    <row r="25" spans="1:22">
      <c r="G25" s="2"/>
      <c r="H25" s="2"/>
      <c r="I25" s="2"/>
      <c r="J25" s="2">
        <v>62000</v>
      </c>
      <c r="K25" s="2"/>
      <c r="L25" s="100"/>
      <c r="N25" s="201">
        <v>154624</v>
      </c>
      <c r="O25" s="201"/>
      <c r="P25" s="201"/>
      <c r="Q25" s="201">
        <v>35000</v>
      </c>
    </row>
    <row r="26" spans="1:22">
      <c r="G26" s="2"/>
      <c r="H26" s="2"/>
      <c r="I26" s="2"/>
      <c r="J26" s="2" t="s">
        <v>723</v>
      </c>
      <c r="K26" s="2"/>
      <c r="L26" s="100"/>
      <c r="N26" s="100"/>
      <c r="O26" s="100"/>
      <c r="P26" s="100"/>
      <c r="Q26" s="100"/>
      <c r="R26" s="100" t="s">
        <v>164</v>
      </c>
      <c r="S26" s="3">
        <f>S24-S23</f>
        <v>170687</v>
      </c>
    </row>
    <row r="27" spans="1:22">
      <c r="G27" s="2"/>
      <c r="H27" s="2"/>
      <c r="I27" s="2"/>
      <c r="J27" s="2"/>
      <c r="K27" s="2"/>
      <c r="L27" s="100"/>
      <c r="M27" s="100"/>
      <c r="N27" s="100"/>
      <c r="O27" s="100"/>
      <c r="P27" s="100"/>
      <c r="Q27" s="100"/>
      <c r="R27" s="100"/>
      <c r="S27" s="3"/>
    </row>
    <row r="28" spans="1:22"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132</v>
      </c>
      <c r="M28" t="s">
        <v>133</v>
      </c>
      <c r="N28" t="s">
        <v>134</v>
      </c>
      <c r="P28" t="s">
        <v>136</v>
      </c>
      <c r="Q28" t="s">
        <v>137</v>
      </c>
      <c r="R28" t="s">
        <v>138</v>
      </c>
    </row>
    <row r="29" spans="1:22">
      <c r="B29" t="s">
        <v>528</v>
      </c>
      <c r="C29" s="95" t="s">
        <v>719</v>
      </c>
      <c r="D29" s="95"/>
      <c r="E29" s="95"/>
      <c r="F29" s="96" t="s">
        <v>718</v>
      </c>
      <c r="G29" s="97">
        <v>150000</v>
      </c>
      <c r="H29" s="97">
        <v>150000</v>
      </c>
      <c r="I29" s="97">
        <v>150000</v>
      </c>
      <c r="J29" s="97">
        <v>150000</v>
      </c>
      <c r="K29" s="97">
        <v>150000</v>
      </c>
      <c r="L29" s="97">
        <v>150000</v>
      </c>
      <c r="M29" s="97">
        <v>150000</v>
      </c>
      <c r="N29" s="97">
        <v>150000</v>
      </c>
      <c r="O29" s="97">
        <v>150000</v>
      </c>
      <c r="P29" s="97">
        <v>150000</v>
      </c>
      <c r="Q29" s="97">
        <v>150000</v>
      </c>
      <c r="R29" s="98">
        <v>150000</v>
      </c>
      <c r="S29" s="99">
        <v>1800000</v>
      </c>
    </row>
    <row r="30" spans="1:22">
      <c r="B30" t="s">
        <v>141</v>
      </c>
      <c r="G30" s="2">
        <v>118570</v>
      </c>
      <c r="H30" s="2">
        <v>116566</v>
      </c>
      <c r="I30" s="2">
        <v>123914</v>
      </c>
      <c r="J30" s="2">
        <v>122244</v>
      </c>
      <c r="K30" s="2">
        <v>125918</v>
      </c>
      <c r="L30" s="132">
        <v>125417</v>
      </c>
      <c r="M30" s="132">
        <v>224763</v>
      </c>
      <c r="N30" s="132">
        <v>128256</v>
      </c>
      <c r="O30" s="100">
        <v>150000</v>
      </c>
      <c r="P30" s="100">
        <v>150000</v>
      </c>
      <c r="Q30" s="100">
        <v>150000</v>
      </c>
      <c r="R30" s="100">
        <v>150000</v>
      </c>
      <c r="S30" s="3">
        <f>SUM(G30:R30)</f>
        <v>1685648</v>
      </c>
    </row>
    <row r="31" spans="1:22">
      <c r="G31" s="2"/>
      <c r="H31" s="2"/>
      <c r="I31" s="2"/>
      <c r="J31" s="2"/>
      <c r="K31" s="2"/>
      <c r="L31" s="100"/>
      <c r="M31" t="s">
        <v>724</v>
      </c>
      <c r="N31" s="100"/>
      <c r="O31" s="100"/>
      <c r="P31" s="100"/>
      <c r="Q31" s="100"/>
      <c r="R31" s="100"/>
      <c r="S31" s="3"/>
    </row>
    <row r="32" spans="1:22">
      <c r="G32" s="2"/>
      <c r="H32" s="2"/>
      <c r="I32" s="2"/>
      <c r="J32" s="2"/>
      <c r="K32" s="2"/>
      <c r="L32" s="100"/>
      <c r="M32" t="s">
        <v>725</v>
      </c>
      <c r="N32" s="100"/>
      <c r="O32" s="100"/>
      <c r="P32" s="100"/>
      <c r="Q32" s="100"/>
      <c r="R32" s="100"/>
      <c r="S32" s="3"/>
    </row>
    <row r="33" spans="2:19">
      <c r="G33" s="2"/>
      <c r="H33" s="2"/>
      <c r="I33" s="2"/>
      <c r="J33" s="2"/>
      <c r="K33" s="2"/>
      <c r="L33" s="100"/>
      <c r="M33" s="100"/>
      <c r="N33" s="100"/>
      <c r="O33" s="100"/>
      <c r="P33" s="100"/>
      <c r="Q33" s="100"/>
      <c r="R33" s="100"/>
      <c r="S33" s="3"/>
    </row>
    <row r="34" spans="2:19">
      <c r="S34" s="106">
        <f>S30-S29</f>
        <v>-114352</v>
      </c>
    </row>
    <row r="35" spans="2:19">
      <c r="L35">
        <f>300*400</f>
        <v>120000</v>
      </c>
    </row>
    <row r="37" spans="2:19">
      <c r="B37" t="s">
        <v>726</v>
      </c>
      <c r="C37" t="s">
        <v>727</v>
      </c>
    </row>
    <row r="38" spans="2:19">
      <c r="B38" t="s">
        <v>728</v>
      </c>
      <c r="C38" t="s">
        <v>662</v>
      </c>
    </row>
    <row r="39" spans="2:19"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135</v>
      </c>
      <c r="P39" t="s">
        <v>136</v>
      </c>
      <c r="Q39" t="s">
        <v>137</v>
      </c>
      <c r="R39" t="s">
        <v>138</v>
      </c>
    </row>
    <row r="40" spans="2:19">
      <c r="G40">
        <v>133433</v>
      </c>
      <c r="H40">
        <v>133433</v>
      </c>
      <c r="I40">
        <v>133433</v>
      </c>
      <c r="J40">
        <v>133433</v>
      </c>
      <c r="K40">
        <v>133433</v>
      </c>
      <c r="L40">
        <v>133433</v>
      </c>
      <c r="M40">
        <v>133433</v>
      </c>
      <c r="N40">
        <v>133433</v>
      </c>
      <c r="O40">
        <v>133433</v>
      </c>
      <c r="P40">
        <v>133433</v>
      </c>
      <c r="Q40">
        <v>133433</v>
      </c>
      <c r="R40">
        <v>133433</v>
      </c>
    </row>
    <row r="41" spans="2:19">
      <c r="F41">
        <f>G40/167</f>
        <v>799</v>
      </c>
    </row>
  </sheetData>
  <phoneticPr fontId="6"/>
  <pageMargins left="0.7" right="0.7" top="0.75" bottom="0.75" header="0.3" footer="0.3"/>
  <drawing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C2CD-50C3-4901-9908-C149A1124EC7}">
  <sheetPr>
    <tabColor rgb="FFFFC000"/>
  </sheetPr>
  <dimension ref="B1:X44"/>
  <sheetViews>
    <sheetView topLeftCell="B10" zoomScale="85" zoomScaleNormal="85" workbookViewId="0">
      <selection activeCell="K20" sqref="K20"/>
    </sheetView>
  </sheetViews>
  <sheetFormatPr defaultRowHeight="18"/>
  <cols>
    <col min="3" max="3" width="9.125" bestFit="1" customWidth="1"/>
    <col min="4" max="4" width="13.25" bestFit="1" customWidth="1"/>
    <col min="5" max="5" width="12.875" bestFit="1" customWidth="1"/>
    <col min="6" max="6" width="15.625" bestFit="1" customWidth="1"/>
    <col min="7" max="9" width="10.5" bestFit="1" customWidth="1"/>
    <col min="10" max="10" width="13.125" bestFit="1" customWidth="1"/>
    <col min="11" max="11" width="14.75" bestFit="1" customWidth="1"/>
    <col min="12" max="12" width="19" customWidth="1"/>
    <col min="13" max="13" width="10.5" bestFit="1" customWidth="1"/>
    <col min="14" max="14" width="15.25" customWidth="1"/>
    <col min="15" max="15" width="11.25" bestFit="1" customWidth="1"/>
    <col min="16" max="16" width="14.375" customWidth="1"/>
    <col min="17" max="18" width="10.5" bestFit="1" customWidth="1"/>
    <col min="19" max="19" width="12.25" bestFit="1" customWidth="1"/>
    <col min="20" max="20" width="11.875" bestFit="1" customWidth="1"/>
    <col min="22" max="22" width="11.875" bestFit="1" customWidth="1"/>
    <col min="23" max="23" width="12.25" bestFit="1" customWidth="1"/>
    <col min="24" max="24" width="10.875" customWidth="1"/>
  </cols>
  <sheetData>
    <row r="1" spans="3:24">
      <c r="D1" t="s">
        <v>729</v>
      </c>
      <c r="F1">
        <v>20</v>
      </c>
      <c r="G1" t="s">
        <v>730</v>
      </c>
    </row>
    <row r="2" spans="3:24">
      <c r="D2" t="s">
        <v>731</v>
      </c>
      <c r="F2">
        <v>40</v>
      </c>
      <c r="G2" t="s">
        <v>730</v>
      </c>
    </row>
    <row r="5" spans="3:24">
      <c r="C5" t="s">
        <v>732</v>
      </c>
      <c r="G5" t="s">
        <v>328</v>
      </c>
      <c r="L5" t="s">
        <v>733</v>
      </c>
    </row>
    <row r="6" spans="3:24">
      <c r="D6" t="s">
        <v>734</v>
      </c>
      <c r="E6" t="s">
        <v>735</v>
      </c>
      <c r="F6" t="s">
        <v>736</v>
      </c>
      <c r="G6" t="s">
        <v>737</v>
      </c>
      <c r="H6" t="s">
        <v>738</v>
      </c>
      <c r="I6" t="s">
        <v>237</v>
      </c>
      <c r="J6" t="s">
        <v>505</v>
      </c>
      <c r="L6" t="s">
        <v>737</v>
      </c>
      <c r="M6" t="s">
        <v>505</v>
      </c>
      <c r="N6" t="s">
        <v>739</v>
      </c>
    </row>
    <row r="7" spans="3:24">
      <c r="D7" t="s">
        <v>740</v>
      </c>
      <c r="E7" t="s">
        <v>741</v>
      </c>
      <c r="F7" s="2">
        <v>2100</v>
      </c>
      <c r="G7">
        <v>78</v>
      </c>
      <c r="H7">
        <v>3</v>
      </c>
      <c r="L7">
        <v>4</v>
      </c>
      <c r="N7" t="s">
        <v>742</v>
      </c>
      <c r="P7" s="4"/>
      <c r="R7" s="4"/>
      <c r="S7" s="4"/>
    </row>
    <row r="8" spans="3:24">
      <c r="D8" t="s">
        <v>743</v>
      </c>
      <c r="E8" t="s">
        <v>744</v>
      </c>
      <c r="F8" s="2">
        <v>2100</v>
      </c>
      <c r="G8">
        <v>33</v>
      </c>
      <c r="H8">
        <v>33</v>
      </c>
      <c r="L8">
        <v>32</v>
      </c>
      <c r="N8" t="s">
        <v>742</v>
      </c>
    </row>
    <row r="9" spans="3:24">
      <c r="D9" t="s">
        <v>745</v>
      </c>
      <c r="E9" t="s">
        <v>744</v>
      </c>
      <c r="F9" s="2">
        <v>2100</v>
      </c>
      <c r="G9">
        <v>147</v>
      </c>
      <c r="H9">
        <v>147</v>
      </c>
      <c r="L9">
        <v>146</v>
      </c>
      <c r="N9" t="s">
        <v>742</v>
      </c>
    </row>
    <row r="10" spans="3:24">
      <c r="C10" s="16"/>
      <c r="D10" s="16" t="s">
        <v>746</v>
      </c>
      <c r="E10" s="16" t="s">
        <v>744</v>
      </c>
      <c r="F10" s="16">
        <v>2100</v>
      </c>
      <c r="G10" s="16">
        <v>61</v>
      </c>
      <c r="H10" s="16">
        <v>60</v>
      </c>
      <c r="I10" s="16"/>
      <c r="J10" s="16"/>
      <c r="L10" s="16">
        <v>61</v>
      </c>
      <c r="M10" s="16"/>
      <c r="N10" s="16"/>
      <c r="O10" s="16"/>
      <c r="P10" s="3"/>
    </row>
    <row r="11" spans="3:24">
      <c r="C11" s="16"/>
      <c r="D11" s="16" t="s">
        <v>747</v>
      </c>
      <c r="E11" s="16" t="s">
        <v>744</v>
      </c>
      <c r="F11" s="16">
        <v>2100</v>
      </c>
      <c r="G11" s="16">
        <v>30</v>
      </c>
      <c r="H11" s="16">
        <v>30</v>
      </c>
      <c r="I11" s="16"/>
      <c r="J11" s="16"/>
      <c r="L11" s="16">
        <v>30</v>
      </c>
      <c r="M11" s="16"/>
      <c r="N11" s="16"/>
      <c r="O11" s="16"/>
      <c r="P11" s="3"/>
    </row>
    <row r="12" spans="3:24">
      <c r="C12" s="16"/>
      <c r="D12" s="16" t="s">
        <v>748</v>
      </c>
      <c r="E12" s="16" t="s">
        <v>744</v>
      </c>
      <c r="F12" s="16">
        <v>2100</v>
      </c>
      <c r="G12" s="16">
        <v>119</v>
      </c>
      <c r="H12" s="16">
        <v>54</v>
      </c>
      <c r="I12" s="16">
        <v>75</v>
      </c>
      <c r="J12" s="16">
        <v>50</v>
      </c>
      <c r="L12" s="16">
        <v>146</v>
      </c>
      <c r="M12" s="16"/>
      <c r="N12" s="16"/>
      <c r="O12" s="16"/>
      <c r="P12" s="3"/>
      <c r="W12" s="8"/>
      <c r="X12" s="8"/>
    </row>
    <row r="13" spans="3:24">
      <c r="C13" s="16"/>
      <c r="D13" s="16" t="s">
        <v>749</v>
      </c>
      <c r="E13" s="16" t="s">
        <v>741</v>
      </c>
      <c r="F13" s="16">
        <v>2100</v>
      </c>
      <c r="G13" s="16"/>
      <c r="H13" s="16"/>
      <c r="I13" s="16"/>
      <c r="J13" s="16"/>
      <c r="K13" t="s">
        <v>750</v>
      </c>
      <c r="L13" s="16"/>
      <c r="M13" s="16">
        <v>50</v>
      </c>
      <c r="N13" s="16" t="s">
        <v>751</v>
      </c>
      <c r="O13" s="16"/>
      <c r="P13" s="3"/>
      <c r="W13" s="8"/>
      <c r="X13" s="8"/>
    </row>
    <row r="14" spans="3:24">
      <c r="C14" s="16"/>
      <c r="D14" s="16" t="s">
        <v>752</v>
      </c>
      <c r="E14" s="16" t="s">
        <v>753</v>
      </c>
      <c r="F14" s="16">
        <v>2304</v>
      </c>
      <c r="G14" s="16"/>
      <c r="H14" s="16"/>
      <c r="I14" s="16"/>
      <c r="J14" s="16"/>
      <c r="L14" s="16"/>
      <c r="M14" s="16"/>
      <c r="N14" s="16"/>
      <c r="O14" s="16"/>
      <c r="P14" s="3"/>
      <c r="W14" s="8"/>
      <c r="X14" s="8"/>
    </row>
    <row r="15" spans="3:24">
      <c r="C15" s="16"/>
      <c r="D15" s="16"/>
      <c r="E15" s="16"/>
      <c r="F15" s="16"/>
      <c r="G15" s="16">
        <f>SUM(G7:G13)</f>
        <v>468</v>
      </c>
      <c r="H15" s="16"/>
      <c r="I15" s="16">
        <f>SUM(H7:I12)</f>
        <v>402</v>
      </c>
      <c r="J15" s="16">
        <f>J12</f>
        <v>50</v>
      </c>
      <c r="K15" s="16">
        <f>SUM(I15:J15)</f>
        <v>452</v>
      </c>
      <c r="L15" s="16">
        <f>SUM(L7:L12)</f>
        <v>419</v>
      </c>
      <c r="M15" s="16">
        <v>50</v>
      </c>
      <c r="N15" s="16">
        <f>SUM(L15:M15)</f>
        <v>469</v>
      </c>
      <c r="O15" s="123"/>
      <c r="P15" s="3"/>
      <c r="W15" s="8"/>
      <c r="X15" s="8"/>
    </row>
    <row r="16" spans="3:24"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3"/>
      <c r="W16" s="8"/>
      <c r="X16" s="8"/>
    </row>
    <row r="17" spans="2:24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"/>
      <c r="W17" s="8"/>
      <c r="X17" s="8"/>
    </row>
    <row r="18" spans="2:24"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3"/>
      <c r="W18" s="8"/>
      <c r="X18" s="8"/>
    </row>
    <row r="19" spans="2:24"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3"/>
      <c r="W19" s="8"/>
      <c r="X19" s="8"/>
    </row>
    <row r="20" spans="2:24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3"/>
      <c r="W20" s="8"/>
      <c r="X20" s="8"/>
    </row>
    <row r="23" spans="2:24">
      <c r="B23" t="s">
        <v>420</v>
      </c>
      <c r="J23" t="s">
        <v>754</v>
      </c>
    </row>
    <row r="24" spans="2:24">
      <c r="B24" t="s">
        <v>755</v>
      </c>
      <c r="D24" t="s">
        <v>127</v>
      </c>
      <c r="E24" t="s">
        <v>159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137</v>
      </c>
      <c r="O24" t="s">
        <v>138</v>
      </c>
    </row>
    <row r="25" spans="2:24">
      <c r="D25" s="26">
        <v>1210000</v>
      </c>
      <c r="E25" s="26">
        <v>1210000</v>
      </c>
      <c r="F25" s="26">
        <v>1210000</v>
      </c>
      <c r="G25" s="26">
        <v>1210000</v>
      </c>
      <c r="H25" s="26">
        <v>1210000</v>
      </c>
      <c r="I25" s="26">
        <v>1210000</v>
      </c>
      <c r="J25" s="26">
        <v>1210000</v>
      </c>
      <c r="K25" s="26">
        <v>1210000</v>
      </c>
      <c r="L25" s="26">
        <v>1210000</v>
      </c>
      <c r="M25" s="26">
        <v>1210000</v>
      </c>
      <c r="N25" s="26">
        <v>1210000</v>
      </c>
      <c r="O25" s="26">
        <v>1210000</v>
      </c>
      <c r="P25" s="3">
        <f>SUM(D25:O25)</f>
        <v>14520000</v>
      </c>
      <c r="Q25" t="s">
        <v>513</v>
      </c>
      <c r="S25" s="3">
        <f>P25-P31</f>
        <v>-20280000</v>
      </c>
      <c r="W25" s="8"/>
    </row>
    <row r="26" spans="2:24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Q26" t="s">
        <v>410</v>
      </c>
      <c r="S26" s="3">
        <f>P25-P32</f>
        <v>-14819061</v>
      </c>
      <c r="W26" s="8"/>
    </row>
    <row r="27" spans="2:24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2:24">
      <c r="D28" s="8"/>
      <c r="E28" s="8"/>
      <c r="F28" s="8"/>
      <c r="G28" s="8">
        <v>460</v>
      </c>
      <c r="H28" s="8"/>
      <c r="I28" s="8"/>
      <c r="J28" s="8"/>
      <c r="K28" s="8"/>
      <c r="L28" s="8"/>
      <c r="M28" s="8"/>
      <c r="N28" s="8"/>
      <c r="O28" s="8"/>
      <c r="P28" s="8"/>
      <c r="S28" s="8"/>
    </row>
    <row r="29" spans="2:24">
      <c r="B29" t="s">
        <v>389</v>
      </c>
      <c r="J29" t="s">
        <v>754</v>
      </c>
    </row>
    <row r="30" spans="2:24">
      <c r="B30" t="s">
        <v>755</v>
      </c>
      <c r="D30" t="s">
        <v>127</v>
      </c>
      <c r="E30" t="s">
        <v>159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137</v>
      </c>
      <c r="O30" t="s">
        <v>138</v>
      </c>
    </row>
    <row r="31" spans="2:24">
      <c r="D31" s="11">
        <v>2900000</v>
      </c>
      <c r="E31" s="11">
        <v>2900000</v>
      </c>
      <c r="F31" s="11">
        <v>2900000</v>
      </c>
      <c r="G31" s="11">
        <v>2900000</v>
      </c>
      <c r="H31" s="11">
        <v>2900000</v>
      </c>
      <c r="I31" s="11">
        <v>2900000</v>
      </c>
      <c r="J31" s="11">
        <v>2900000</v>
      </c>
      <c r="K31" s="11">
        <v>2900000</v>
      </c>
      <c r="L31" s="11">
        <v>2900000</v>
      </c>
      <c r="M31" s="11">
        <v>2900000</v>
      </c>
      <c r="N31" s="11">
        <v>2900000</v>
      </c>
      <c r="O31" s="11">
        <v>2900000</v>
      </c>
      <c r="P31" s="3">
        <f>SUM(D31:O31)</f>
        <v>34800000</v>
      </c>
      <c r="W31" s="8"/>
    </row>
    <row r="32" spans="2:24">
      <c r="D32" s="2">
        <v>2834036</v>
      </c>
      <c r="E32" s="2">
        <v>2863209</v>
      </c>
      <c r="F32" s="2">
        <v>2760165</v>
      </c>
      <c r="G32" s="2">
        <v>2823724</v>
      </c>
      <c r="H32" s="2">
        <v>2916249</v>
      </c>
      <c r="I32" s="2">
        <v>2998061</v>
      </c>
      <c r="J32" s="2">
        <v>2901628</v>
      </c>
      <c r="K32" s="2">
        <v>1164652</v>
      </c>
      <c r="L32" s="2">
        <v>1071521</v>
      </c>
      <c r="M32" s="2">
        <v>1205816</v>
      </c>
      <c r="N32" s="2">
        <v>2900000</v>
      </c>
      <c r="O32" s="2">
        <v>2900000</v>
      </c>
      <c r="P32" s="3">
        <f>SUM(D32:O32)</f>
        <v>29339061</v>
      </c>
      <c r="W32" s="8"/>
    </row>
    <row r="33" spans="4:19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4:19">
      <c r="D34" s="8"/>
      <c r="E34" s="8"/>
      <c r="F34" s="8"/>
      <c r="G34" s="8">
        <v>460</v>
      </c>
      <c r="H34" s="8"/>
      <c r="I34" s="8"/>
      <c r="J34" s="8"/>
      <c r="K34" s="8"/>
      <c r="L34" s="8"/>
      <c r="M34" s="8"/>
      <c r="N34" s="8"/>
      <c r="O34" s="8"/>
      <c r="P34" s="8"/>
      <c r="S34" s="8"/>
    </row>
    <row r="35" spans="4:19">
      <c r="O35" s="8"/>
    </row>
    <row r="36" spans="4:19">
      <c r="K36">
        <v>470</v>
      </c>
      <c r="L36">
        <v>6000</v>
      </c>
      <c r="M36">
        <v>12</v>
      </c>
      <c r="N36">
        <f>K36*L36*M36</f>
        <v>33840000</v>
      </c>
      <c r="P36" s="8"/>
    </row>
    <row r="37" spans="4:19">
      <c r="L37" s="8"/>
      <c r="P37" s="8"/>
    </row>
    <row r="38" spans="4:19">
      <c r="L38" s="3"/>
      <c r="P38" s="8"/>
    </row>
    <row r="40" spans="4:19">
      <c r="L40" s="8"/>
    </row>
    <row r="44" spans="4:19">
      <c r="L44" s="8"/>
      <c r="O44" s="8"/>
    </row>
  </sheetData>
  <phoneticPr fontId="6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395D-1167-48AF-B59E-A3ED40E9EB90}">
  <sheetPr codeName="Sheet18">
    <tabColor rgb="FFFFC000"/>
  </sheetPr>
  <dimension ref="A1:V36"/>
  <sheetViews>
    <sheetView topLeftCell="C1" zoomScale="85" zoomScaleNormal="85" workbookViewId="0">
      <selection activeCell="K20" sqref="K20"/>
    </sheetView>
  </sheetViews>
  <sheetFormatPr defaultRowHeight="18"/>
  <cols>
    <col min="3" max="3" width="9.125" bestFit="1" customWidth="1"/>
    <col min="4" max="4" width="13.25" bestFit="1" customWidth="1"/>
    <col min="5" max="5" width="12.875" bestFit="1" customWidth="1"/>
    <col min="6" max="6" width="15.625" bestFit="1" customWidth="1"/>
    <col min="7" max="7" width="12" bestFit="1" customWidth="1"/>
    <col min="8" max="8" width="13.125" bestFit="1" customWidth="1"/>
    <col min="9" max="9" width="12.875" bestFit="1" customWidth="1"/>
    <col min="10" max="10" width="13.5" customWidth="1"/>
    <col min="11" max="13" width="10.5" bestFit="1" customWidth="1"/>
    <col min="14" max="14" width="14.375" customWidth="1"/>
    <col min="15" max="15" width="10.5" bestFit="1" customWidth="1"/>
    <col min="16" max="16" width="10.5" style="2" bestFit="1" customWidth="1"/>
    <col min="17" max="17" width="12.25" bestFit="1" customWidth="1"/>
    <col min="18" max="18" width="11.875" bestFit="1" customWidth="1"/>
    <col min="19" max="19" width="10.625" bestFit="1" customWidth="1"/>
    <col min="20" max="20" width="11.875" bestFit="1" customWidth="1"/>
    <col min="21" max="21" width="12.25" bestFit="1" customWidth="1"/>
    <col min="22" max="22" width="10.875" customWidth="1"/>
  </cols>
  <sheetData>
    <row r="1" spans="1:22">
      <c r="D1" s="19" t="s">
        <v>756</v>
      </c>
      <c r="E1" s="19"/>
      <c r="F1" s="19">
        <v>0</v>
      </c>
      <c r="G1" s="19" t="s">
        <v>730</v>
      </c>
      <c r="H1" s="19"/>
      <c r="I1" s="19"/>
      <c r="J1" s="19"/>
      <c r="K1" s="19"/>
    </row>
    <row r="2" spans="1:22">
      <c r="D2" s="19" t="s">
        <v>757</v>
      </c>
      <c r="E2" s="19"/>
      <c r="F2" s="19">
        <v>0</v>
      </c>
      <c r="G2" s="19" t="s">
        <v>730</v>
      </c>
      <c r="H2" s="19"/>
      <c r="I2" s="19"/>
      <c r="J2" s="19"/>
      <c r="K2" s="19"/>
    </row>
    <row r="3" spans="1:22">
      <c r="D3" s="19"/>
      <c r="E3" s="19"/>
      <c r="F3" s="19"/>
      <c r="G3" s="19"/>
      <c r="H3" s="19"/>
      <c r="I3" s="19"/>
      <c r="J3" s="19"/>
      <c r="K3" s="19"/>
    </row>
    <row r="4" spans="1:22">
      <c r="D4" s="19"/>
      <c r="E4" s="19"/>
      <c r="F4" s="19"/>
      <c r="G4" s="19"/>
      <c r="H4" s="19" t="s">
        <v>328</v>
      </c>
      <c r="I4" s="19"/>
      <c r="J4" s="19" t="s">
        <v>123</v>
      </c>
      <c r="K4" s="19"/>
      <c r="L4" s="19"/>
      <c r="M4" t="s">
        <v>124</v>
      </c>
    </row>
    <row r="5" spans="1:22">
      <c r="D5" s="19" t="s">
        <v>734</v>
      </c>
      <c r="E5" s="19" t="s">
        <v>735</v>
      </c>
      <c r="F5" s="19" t="s">
        <v>736</v>
      </c>
      <c r="G5" s="19" t="s">
        <v>737</v>
      </c>
      <c r="H5" s="19" t="s">
        <v>505</v>
      </c>
      <c r="I5" s="19" t="s">
        <v>758</v>
      </c>
      <c r="J5" s="19" t="s">
        <v>759</v>
      </c>
      <c r="K5" s="19" t="s">
        <v>505</v>
      </c>
      <c r="L5" s="19" t="s">
        <v>758</v>
      </c>
      <c r="M5" s="19" t="s">
        <v>737</v>
      </c>
      <c r="N5" s="19" t="s">
        <v>426</v>
      </c>
      <c r="O5" s="19" t="s">
        <v>505</v>
      </c>
    </row>
    <row r="6" spans="1:22" ht="20.100000000000001">
      <c r="D6" s="20" t="s">
        <v>760</v>
      </c>
      <c r="E6" s="19" t="s">
        <v>744</v>
      </c>
      <c r="F6" s="20">
        <v>200</v>
      </c>
      <c r="G6" s="19">
        <v>10</v>
      </c>
      <c r="H6" s="19"/>
      <c r="I6" s="19"/>
      <c r="J6" s="19">
        <v>10</v>
      </c>
      <c r="K6" s="19"/>
      <c r="L6" s="19"/>
      <c r="M6">
        <v>10</v>
      </c>
      <c r="N6" s="415">
        <v>21</v>
      </c>
      <c r="O6">
        <v>0</v>
      </c>
      <c r="Q6" s="4"/>
      <c r="R6" s="4"/>
    </row>
    <row r="7" spans="1:22" ht="20.100000000000001">
      <c r="D7" s="20" t="s">
        <v>761</v>
      </c>
      <c r="E7" s="19" t="s">
        <v>744</v>
      </c>
      <c r="F7" s="20">
        <v>200</v>
      </c>
      <c r="G7" s="19">
        <v>55</v>
      </c>
      <c r="H7" s="19">
        <v>10</v>
      </c>
      <c r="I7" s="19"/>
      <c r="J7" s="19">
        <v>55</v>
      </c>
      <c r="K7" s="19"/>
      <c r="L7" s="19"/>
      <c r="M7">
        <v>55</v>
      </c>
      <c r="N7" s="415"/>
      <c r="O7">
        <v>0</v>
      </c>
    </row>
    <row r="8" spans="1:22">
      <c r="C8" s="16"/>
      <c r="D8" s="21"/>
      <c r="E8" s="21"/>
      <c r="F8" s="122" t="s">
        <v>139</v>
      </c>
      <c r="G8" s="21">
        <f>SUM(G6:G7)</f>
        <v>65</v>
      </c>
      <c r="H8" s="21">
        <f>SUM(H7)</f>
        <v>10</v>
      </c>
      <c r="I8" s="21">
        <f>G8+H8</f>
        <v>75</v>
      </c>
      <c r="J8" s="21">
        <f>SUM(J$6:J$7)</f>
        <v>65</v>
      </c>
      <c r="K8" s="21">
        <v>20</v>
      </c>
      <c r="L8" s="21">
        <f>J8+K8</f>
        <v>85</v>
      </c>
      <c r="M8" s="16"/>
      <c r="N8" s="16"/>
      <c r="O8" s="16"/>
    </row>
    <row r="9" spans="1:22" ht="20.100000000000001">
      <c r="C9" s="16"/>
      <c r="D9" s="21"/>
      <c r="E9" s="21"/>
      <c r="G9" s="20" t="s">
        <v>528</v>
      </c>
      <c r="H9" s="21">
        <v>223500</v>
      </c>
      <c r="I9" s="21"/>
      <c r="J9" s="22" t="s">
        <v>389</v>
      </c>
      <c r="K9" s="22">
        <v>253300</v>
      </c>
      <c r="L9" s="21"/>
      <c r="M9" s="16" t="s">
        <v>381</v>
      </c>
      <c r="N9" s="16" t="s">
        <v>126</v>
      </c>
      <c r="O9" s="16">
        <f>200*65</f>
        <v>13000</v>
      </c>
      <c r="S9" s="17"/>
      <c r="U9" s="1"/>
      <c r="V9" s="3"/>
    </row>
    <row r="10" spans="1:22">
      <c r="C10" s="16"/>
      <c r="D10" s="21"/>
      <c r="E10" s="21"/>
      <c r="F10" s="21"/>
      <c r="G10" s="21"/>
      <c r="H10" s="21">
        <v>193700</v>
      </c>
      <c r="I10" s="21"/>
      <c r="J10" s="21"/>
      <c r="K10" s="22">
        <v>260000</v>
      </c>
      <c r="L10" s="21"/>
      <c r="M10" s="16"/>
      <c r="N10" s="16"/>
      <c r="O10" s="16"/>
      <c r="U10" s="17"/>
    </row>
    <row r="13" spans="1:22">
      <c r="A13" t="s">
        <v>420</v>
      </c>
      <c r="D13" t="s">
        <v>127</v>
      </c>
      <c r="E13" t="s">
        <v>159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 t="s">
        <v>138</v>
      </c>
    </row>
    <row r="14" spans="1:22">
      <c r="A14" t="s">
        <v>762</v>
      </c>
      <c r="D14" s="26">
        <v>15000</v>
      </c>
      <c r="E14" s="26">
        <v>15000</v>
      </c>
      <c r="F14" s="26">
        <v>15000</v>
      </c>
      <c r="G14" s="26">
        <v>15000</v>
      </c>
      <c r="H14" s="26">
        <v>15000</v>
      </c>
      <c r="I14" s="26">
        <v>15000</v>
      </c>
      <c r="J14" s="26">
        <v>15000</v>
      </c>
      <c r="K14" s="26">
        <v>15000</v>
      </c>
      <c r="L14" s="26">
        <v>15000</v>
      </c>
      <c r="M14" s="26">
        <v>15000</v>
      </c>
      <c r="N14" s="26">
        <v>15000</v>
      </c>
      <c r="O14" s="26">
        <v>15000</v>
      </c>
      <c r="P14" s="2">
        <f>SUM(D14:O14)</f>
        <v>180000</v>
      </c>
      <c r="Q14" t="s">
        <v>409</v>
      </c>
      <c r="S14" s="3">
        <f>P14-P19</f>
        <v>-2520000</v>
      </c>
    </row>
    <row r="15" spans="1:22">
      <c r="O15">
        <v>225000</v>
      </c>
      <c r="Q15" t="s">
        <v>410</v>
      </c>
      <c r="S15" s="3">
        <f>P14-P20</f>
        <v>-1686932</v>
      </c>
      <c r="U15" s="8"/>
    </row>
    <row r="16" spans="1:22">
      <c r="U16" s="8"/>
    </row>
    <row r="17" spans="1:22">
      <c r="J17" t="s">
        <v>754</v>
      </c>
    </row>
    <row r="18" spans="1:22">
      <c r="A18" t="s">
        <v>389</v>
      </c>
      <c r="D18" t="s">
        <v>127</v>
      </c>
      <c r="E18" t="s">
        <v>159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137</v>
      </c>
      <c r="O18" t="s">
        <v>138</v>
      </c>
    </row>
    <row r="19" spans="1:22">
      <c r="A19" t="s">
        <v>762</v>
      </c>
      <c r="D19" s="26">
        <v>225000</v>
      </c>
      <c r="E19" s="26">
        <v>225000</v>
      </c>
      <c r="F19" s="26">
        <v>225000</v>
      </c>
      <c r="G19" s="26">
        <v>225000</v>
      </c>
      <c r="H19" s="26">
        <v>225000</v>
      </c>
      <c r="I19" s="26">
        <v>225000</v>
      </c>
      <c r="J19" s="26">
        <v>225000</v>
      </c>
      <c r="K19" s="26">
        <v>225000</v>
      </c>
      <c r="L19" s="26">
        <v>225000</v>
      </c>
      <c r="M19" s="26">
        <v>225000</v>
      </c>
      <c r="N19" s="26">
        <v>225000</v>
      </c>
      <c r="O19" s="26">
        <v>225000</v>
      </c>
      <c r="P19" s="2">
        <f>SUM(D19:O19)</f>
        <v>2700000</v>
      </c>
    </row>
    <row r="20" spans="1:22">
      <c r="D20">
        <v>194650</v>
      </c>
      <c r="E20">
        <v>194650</v>
      </c>
      <c r="F20">
        <v>194650</v>
      </c>
      <c r="G20">
        <v>204577</v>
      </c>
      <c r="H20">
        <v>194650</v>
      </c>
      <c r="I20">
        <v>194650</v>
      </c>
      <c r="J20">
        <v>194660</v>
      </c>
      <c r="K20">
        <v>14815</v>
      </c>
      <c r="L20">
        <v>14815</v>
      </c>
      <c r="M20">
        <v>14815</v>
      </c>
      <c r="N20">
        <v>225000</v>
      </c>
      <c r="O20">
        <v>225000</v>
      </c>
      <c r="P20" s="2">
        <f>SUM(D20:O20)</f>
        <v>1866932</v>
      </c>
      <c r="U20" s="8"/>
    </row>
    <row r="21" spans="1:22">
      <c r="U21" s="8"/>
    </row>
    <row r="22" spans="1:22">
      <c r="U22" s="8"/>
      <c r="V22" s="8"/>
    </row>
    <row r="24" spans="1:22">
      <c r="D24" s="8"/>
      <c r="E24" s="8"/>
      <c r="F24" s="8"/>
      <c r="G24" s="8"/>
      <c r="H24" s="8"/>
      <c r="I24" s="8">
        <v>3000</v>
      </c>
      <c r="J24" s="8">
        <v>75</v>
      </c>
      <c r="K24" s="8">
        <v>12</v>
      </c>
      <c r="L24" s="8">
        <f>I24*12*J24</f>
        <v>2700000</v>
      </c>
      <c r="M24" s="8"/>
      <c r="N24" s="8"/>
    </row>
    <row r="25" spans="1:22"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22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Q26" s="8"/>
    </row>
    <row r="27" spans="1:22">
      <c r="M27" s="8"/>
    </row>
    <row r="28" spans="1:22">
      <c r="N28" s="8"/>
    </row>
    <row r="29" spans="1:22">
      <c r="J29" s="8"/>
      <c r="N29" s="8"/>
    </row>
    <row r="30" spans="1:22">
      <c r="J30" s="3"/>
      <c r="N30" s="8"/>
    </row>
    <row r="32" spans="1:22">
      <c r="J32" s="8"/>
    </row>
    <row r="36" spans="10:13">
      <c r="J36" s="8"/>
      <c r="M36" s="8"/>
    </row>
  </sheetData>
  <mergeCells count="1">
    <mergeCell ref="N6:N7"/>
  </mergeCells>
  <phoneticPr fontId="6"/>
  <pageMargins left="0.7" right="0.7" top="0.75" bottom="0.75" header="0.3" footer="0.3"/>
  <drawing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69A2-ACC2-46C4-8CCA-81B4E57F2C35}">
  <sheetPr codeName="Sheet20">
    <tabColor rgb="FFFFC000"/>
  </sheetPr>
  <dimension ref="B1:X41"/>
  <sheetViews>
    <sheetView topLeftCell="A8" zoomScale="70" zoomScaleNormal="70" workbookViewId="0">
      <selection activeCell="K20" sqref="K20"/>
    </sheetView>
  </sheetViews>
  <sheetFormatPr defaultRowHeight="18"/>
  <cols>
    <col min="3" max="3" width="9.125" bestFit="1" customWidth="1"/>
    <col min="4" max="4" width="13.25" bestFit="1" customWidth="1"/>
    <col min="5" max="5" width="12.875" bestFit="1" customWidth="1"/>
    <col min="6" max="6" width="15.625" bestFit="1" customWidth="1"/>
    <col min="7" max="9" width="10.5" bestFit="1" customWidth="1"/>
    <col min="10" max="10" width="13.125" bestFit="1" customWidth="1"/>
    <col min="11" max="11" width="14.75" bestFit="1" customWidth="1"/>
    <col min="12" max="12" width="19" customWidth="1"/>
    <col min="13" max="13" width="10.5" bestFit="1" customWidth="1"/>
    <col min="14" max="14" width="15.25" customWidth="1"/>
    <col min="15" max="15" width="11.25" bestFit="1" customWidth="1"/>
    <col min="16" max="16" width="14.375" customWidth="1"/>
    <col min="17" max="18" width="10.5" bestFit="1" customWidth="1"/>
    <col min="19" max="19" width="12.25" bestFit="1" customWidth="1"/>
    <col min="20" max="20" width="11.875" bestFit="1" customWidth="1"/>
    <col min="22" max="22" width="11.875" bestFit="1" customWidth="1"/>
    <col min="23" max="23" width="12.25" bestFit="1" customWidth="1"/>
    <col min="24" max="24" width="10.875" customWidth="1"/>
  </cols>
  <sheetData>
    <row r="1" spans="2:24" hidden="1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3"/>
      <c r="W1" s="8"/>
      <c r="X1" s="8"/>
    </row>
    <row r="2" spans="2:24" hidden="1">
      <c r="C2" s="16" t="s">
        <v>763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3"/>
      <c r="W2" s="8"/>
      <c r="X2" s="8"/>
    </row>
    <row r="3" spans="2:24" hidden="1">
      <c r="C3" s="16"/>
      <c r="D3" s="16" t="s">
        <v>764</v>
      </c>
      <c r="E3" s="16"/>
      <c r="F3" s="16">
        <v>5303</v>
      </c>
      <c r="G3" s="16">
        <v>2</v>
      </c>
      <c r="H3" s="16">
        <v>2</v>
      </c>
      <c r="I3" s="16"/>
      <c r="J3" s="16"/>
      <c r="K3" s="16"/>
      <c r="L3" s="16"/>
      <c r="M3" s="16"/>
      <c r="N3" s="16"/>
      <c r="O3" s="16"/>
      <c r="P3" s="16"/>
    </row>
    <row r="4" spans="2:24" hidden="1">
      <c r="C4" s="16"/>
      <c r="D4" s="16" t="s">
        <v>765</v>
      </c>
      <c r="E4" s="16"/>
      <c r="F4" s="16">
        <v>5303</v>
      </c>
      <c r="G4" s="16">
        <v>1</v>
      </c>
      <c r="H4" s="16">
        <v>1</v>
      </c>
      <c r="I4" s="16"/>
      <c r="J4" s="16"/>
      <c r="K4" s="16"/>
      <c r="L4" s="16"/>
      <c r="M4" s="16"/>
      <c r="N4" s="16"/>
      <c r="O4" s="16"/>
      <c r="P4" s="16"/>
    </row>
    <row r="5" spans="2:24" hidden="1">
      <c r="C5" t="s">
        <v>766</v>
      </c>
      <c r="D5" t="s">
        <v>767</v>
      </c>
      <c r="H5" s="3">
        <f>SUM(H3:H4)</f>
        <v>3</v>
      </c>
      <c r="I5" s="3"/>
      <c r="P5" s="3"/>
      <c r="R5" s="16"/>
      <c r="S5" s="3"/>
    </row>
    <row r="6" spans="2:24" hidden="1">
      <c r="C6" s="16"/>
      <c r="D6" s="16"/>
      <c r="E6" s="16"/>
      <c r="F6" s="16"/>
      <c r="G6" s="16"/>
      <c r="H6" s="16"/>
      <c r="I6" t="s">
        <v>126</v>
      </c>
      <c r="J6" s="16" t="s">
        <v>310</v>
      </c>
      <c r="K6" s="16">
        <f>$H$5*5303</f>
        <v>15909</v>
      </c>
      <c r="L6" s="16" t="s">
        <v>389</v>
      </c>
      <c r="M6" s="18">
        <f>$H$5*5303</f>
        <v>15909</v>
      </c>
      <c r="N6" s="18">
        <v>16000</v>
      </c>
      <c r="O6" s="16"/>
      <c r="P6" s="16"/>
    </row>
    <row r="7" spans="2:24" hidden="1">
      <c r="C7" s="16"/>
      <c r="D7" s="16"/>
      <c r="E7" s="16"/>
      <c r="F7" s="16"/>
      <c r="G7" s="16"/>
      <c r="H7" s="16"/>
      <c r="I7" s="16" t="s">
        <v>156</v>
      </c>
      <c r="L7" s="16"/>
      <c r="M7" s="16"/>
      <c r="N7" s="18">
        <f>N6*12</f>
        <v>192000</v>
      </c>
      <c r="O7" s="16"/>
      <c r="P7" s="16"/>
      <c r="T7" s="17"/>
      <c r="V7" s="1"/>
      <c r="W7" s="3"/>
    </row>
    <row r="8" spans="2:24">
      <c r="C8" s="16"/>
      <c r="D8" s="16" t="s">
        <v>244</v>
      </c>
      <c r="E8" s="16"/>
      <c r="F8" s="16" t="s">
        <v>126</v>
      </c>
      <c r="G8" s="16" t="s">
        <v>768</v>
      </c>
      <c r="H8" s="16" t="s">
        <v>172</v>
      </c>
      <c r="I8" s="16"/>
      <c r="L8" s="16"/>
      <c r="M8" s="16"/>
      <c r="N8" s="16"/>
      <c r="O8" s="16"/>
      <c r="P8" s="16"/>
      <c r="T8" s="17"/>
      <c r="V8" s="1"/>
      <c r="W8" s="3"/>
    </row>
    <row r="9" spans="2:24">
      <c r="C9" s="16"/>
      <c r="D9" s="16" t="s">
        <v>764</v>
      </c>
      <c r="E9" s="16"/>
      <c r="F9" s="16">
        <v>400</v>
      </c>
      <c r="G9" s="16">
        <v>2</v>
      </c>
      <c r="H9" s="16">
        <f>$F9*$G9</f>
        <v>800</v>
      </c>
      <c r="I9" s="16"/>
      <c r="L9" s="16"/>
      <c r="M9" s="16"/>
      <c r="N9" s="16"/>
      <c r="O9" s="16"/>
      <c r="P9" s="16"/>
      <c r="T9" s="17"/>
      <c r="V9" s="1"/>
      <c r="W9" s="3"/>
    </row>
    <row r="10" spans="2:24">
      <c r="C10" s="16"/>
      <c r="D10" s="16" t="s">
        <v>765</v>
      </c>
      <c r="E10" s="16"/>
      <c r="F10" s="16">
        <v>13800</v>
      </c>
      <c r="G10" s="16">
        <v>1</v>
      </c>
      <c r="H10" s="16">
        <f>$F10*$G10</f>
        <v>13800</v>
      </c>
      <c r="I10" s="16"/>
      <c r="L10" s="16"/>
      <c r="M10" s="16"/>
      <c r="N10" s="16"/>
      <c r="O10" s="16"/>
      <c r="P10" s="16"/>
      <c r="T10" s="17"/>
      <c r="V10" s="1"/>
      <c r="W10" s="3"/>
    </row>
    <row r="11" spans="2:24">
      <c r="C11" s="16"/>
      <c r="D11" s="16"/>
      <c r="E11" s="16"/>
      <c r="F11" s="16"/>
      <c r="G11" s="16" t="s">
        <v>139</v>
      </c>
      <c r="H11" s="16">
        <f>SUM(H9:H10)</f>
        <v>14600</v>
      </c>
      <c r="I11" s="16"/>
      <c r="J11" s="16"/>
      <c r="K11" s="16"/>
      <c r="L11" s="16"/>
      <c r="M11" s="16"/>
      <c r="N11" s="16"/>
      <c r="O11" s="16"/>
      <c r="P11" s="16"/>
      <c r="V11" s="17"/>
    </row>
    <row r="14" spans="2:24">
      <c r="B14" t="s">
        <v>420</v>
      </c>
    </row>
    <row r="15" spans="2:24">
      <c r="W15" s="8"/>
    </row>
    <row r="16" spans="2:24">
      <c r="B16" t="s">
        <v>769</v>
      </c>
      <c r="D16" t="s">
        <v>127</v>
      </c>
      <c r="E16" t="s">
        <v>159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137</v>
      </c>
      <c r="O16" t="s">
        <v>138</v>
      </c>
      <c r="W16" s="8"/>
      <c r="X16" s="8"/>
    </row>
    <row r="17" spans="2:24">
      <c r="D17" s="26">
        <v>14600</v>
      </c>
      <c r="E17" s="26">
        <v>14600</v>
      </c>
      <c r="F17" s="26">
        <v>14600</v>
      </c>
      <c r="G17" s="26">
        <v>14600</v>
      </c>
      <c r="H17" s="26">
        <v>14600</v>
      </c>
      <c r="I17" s="26">
        <v>14600</v>
      </c>
      <c r="J17" s="26">
        <v>14600</v>
      </c>
      <c r="K17" s="26">
        <v>14600</v>
      </c>
      <c r="L17" s="26">
        <v>14600</v>
      </c>
      <c r="M17" s="26">
        <v>14600</v>
      </c>
      <c r="N17" s="26">
        <v>14600</v>
      </c>
      <c r="O17" s="26">
        <v>14600</v>
      </c>
      <c r="P17" s="3">
        <f>SUM(D17:O17)</f>
        <v>175200</v>
      </c>
    </row>
    <row r="18" spans="2:24"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8"/>
    </row>
    <row r="19" spans="2:24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24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S20" s="8"/>
    </row>
    <row r="21" spans="2:24">
      <c r="O21" s="8"/>
    </row>
    <row r="22" spans="2:24">
      <c r="P22" s="8"/>
    </row>
    <row r="23" spans="2:24">
      <c r="L23" s="8"/>
      <c r="P23" s="8"/>
    </row>
    <row r="25" spans="2:24">
      <c r="B25" t="s">
        <v>389</v>
      </c>
    </row>
    <row r="26" spans="2:24">
      <c r="W26" s="8"/>
    </row>
    <row r="27" spans="2:24">
      <c r="B27" t="s">
        <v>769</v>
      </c>
      <c r="D27" t="s">
        <v>127</v>
      </c>
      <c r="E27" t="s">
        <v>159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137</v>
      </c>
      <c r="O27" t="s">
        <v>138</v>
      </c>
      <c r="W27" s="8"/>
      <c r="X27" s="8"/>
    </row>
    <row r="28" spans="2:24">
      <c r="D28" s="11">
        <v>13400</v>
      </c>
      <c r="E28" s="11">
        <v>13400</v>
      </c>
      <c r="F28" s="11">
        <v>13400</v>
      </c>
      <c r="G28" s="11">
        <v>13400</v>
      </c>
      <c r="H28" s="11">
        <v>13400</v>
      </c>
      <c r="I28" s="11">
        <v>13400</v>
      </c>
      <c r="J28" s="11">
        <v>13400</v>
      </c>
      <c r="K28" s="11">
        <v>13400</v>
      </c>
      <c r="L28" s="11">
        <v>13400</v>
      </c>
      <c r="M28" s="11">
        <v>13400</v>
      </c>
      <c r="N28" s="11">
        <v>13400</v>
      </c>
      <c r="O28" s="11">
        <v>13400</v>
      </c>
      <c r="P28" s="3">
        <f>SUM(D28:O28)</f>
        <v>160800</v>
      </c>
    </row>
    <row r="29" spans="2:24">
      <c r="D29" s="298">
        <v>4549</v>
      </c>
      <c r="E29" s="265">
        <v>4549</v>
      </c>
      <c r="F29" s="265">
        <v>4549</v>
      </c>
      <c r="G29" s="265">
        <v>4549</v>
      </c>
      <c r="H29" s="265">
        <v>4549</v>
      </c>
      <c r="I29" s="265">
        <v>4549</v>
      </c>
      <c r="J29" s="265">
        <v>4658</v>
      </c>
      <c r="K29" s="265"/>
      <c r="L29" s="265"/>
      <c r="M29" s="265"/>
      <c r="N29" s="265">
        <v>13400</v>
      </c>
      <c r="O29" s="266">
        <v>13400</v>
      </c>
      <c r="P29" s="8"/>
    </row>
    <row r="30" spans="2:24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24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S31" s="8"/>
    </row>
    <row r="32" spans="2:24">
      <c r="O32" s="8"/>
    </row>
    <row r="33" spans="12:16">
      <c r="P33" s="8"/>
    </row>
    <row r="34" spans="12:16">
      <c r="L34" s="8"/>
      <c r="P34" s="8"/>
    </row>
    <row r="35" spans="12:16">
      <c r="L35" s="3"/>
      <c r="P35" s="8"/>
    </row>
    <row r="37" spans="12:16">
      <c r="L37" s="8"/>
    </row>
    <row r="41" spans="12:16">
      <c r="L41" s="8"/>
      <c r="O41" s="8"/>
    </row>
  </sheetData>
  <phoneticPr fontId="6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1FD0-DFE2-42FD-A9F4-8FFF6ADC8DCA}">
  <sheetPr>
    <tabColor rgb="FFFFC000"/>
  </sheetPr>
  <dimension ref="A2:S29"/>
  <sheetViews>
    <sheetView zoomScale="70" zoomScaleNormal="70" workbookViewId="0">
      <selection activeCell="K20" sqref="K20"/>
    </sheetView>
  </sheetViews>
  <sheetFormatPr defaultRowHeight="18"/>
  <cols>
    <col min="2" max="2" width="18.375" customWidth="1"/>
    <col min="3" max="3" width="17.25" bestFit="1" customWidth="1"/>
    <col min="4" max="4" width="43.5" bestFit="1" customWidth="1"/>
    <col min="5" max="6" width="13.375" bestFit="1" customWidth="1"/>
    <col min="7" max="7" width="24.125" customWidth="1"/>
    <col min="8" max="8" width="35" customWidth="1"/>
    <col min="9" max="9" width="11.5" bestFit="1" customWidth="1"/>
    <col min="10" max="10" width="10.375" bestFit="1" customWidth="1"/>
    <col min="11" max="11" width="14.25" customWidth="1"/>
    <col min="12" max="14" width="10.375" bestFit="1" customWidth="1"/>
    <col min="15" max="15" width="14.875" customWidth="1"/>
  </cols>
  <sheetData>
    <row r="2" spans="4:13">
      <c r="H2" s="114" t="s">
        <v>770</v>
      </c>
    </row>
    <row r="3" spans="4:13">
      <c r="D3" t="s">
        <v>771</v>
      </c>
    </row>
    <row r="4" spans="4:13">
      <c r="E4" t="s">
        <v>192</v>
      </c>
      <c r="F4" t="s">
        <v>329</v>
      </c>
    </row>
    <row r="5" spans="4:13">
      <c r="D5" t="s">
        <v>772</v>
      </c>
      <c r="E5">
        <v>98</v>
      </c>
      <c r="F5">
        <v>39</v>
      </c>
    </row>
    <row r="6" spans="4:13">
      <c r="D6" t="s">
        <v>268</v>
      </c>
      <c r="E6" s="2">
        <v>76700</v>
      </c>
      <c r="F6" s="2">
        <v>32200</v>
      </c>
    </row>
    <row r="10" spans="4:13">
      <c r="D10" t="s">
        <v>147</v>
      </c>
      <c r="H10" t="s">
        <v>123</v>
      </c>
      <c r="K10" t="s">
        <v>123</v>
      </c>
    </row>
    <row r="11" spans="4:13">
      <c r="D11" t="s">
        <v>152</v>
      </c>
      <c r="E11" t="s">
        <v>153</v>
      </c>
      <c r="H11" t="s">
        <v>152</v>
      </c>
      <c r="I11" t="s">
        <v>153</v>
      </c>
      <c r="K11" t="s">
        <v>152</v>
      </c>
      <c r="L11" t="s">
        <v>153</v>
      </c>
    </row>
    <row r="12" spans="4:13">
      <c r="D12" s="2">
        <f>$E$6</f>
        <v>76700</v>
      </c>
      <c r="F12">
        <f>D12*E12</f>
        <v>0</v>
      </c>
      <c r="H12" s="2">
        <f>E6</f>
        <v>76700</v>
      </c>
      <c r="I12" s="2">
        <v>1</v>
      </c>
      <c r="J12" s="2">
        <f>H12*I12</f>
        <v>76700</v>
      </c>
      <c r="K12" s="2">
        <v>32200</v>
      </c>
      <c r="L12" s="2">
        <v>1</v>
      </c>
      <c r="M12" s="2">
        <f>K12*L12</f>
        <v>32200</v>
      </c>
    </row>
    <row r="14" spans="4:13">
      <c r="D14" s="2"/>
      <c r="F14" s="2"/>
      <c r="H14" s="2"/>
      <c r="J14" s="2"/>
      <c r="K14" s="2"/>
      <c r="M14" s="2"/>
    </row>
    <row r="15" spans="4:13">
      <c r="E15" s="2"/>
      <c r="H15" t="s">
        <v>126</v>
      </c>
      <c r="I15" s="11"/>
      <c r="J15" s="11">
        <f>J14+J12</f>
        <v>76700</v>
      </c>
      <c r="K15" t="s">
        <v>126</v>
      </c>
      <c r="L15" s="11"/>
      <c r="M15" s="11">
        <f>M14+M12</f>
        <v>32200</v>
      </c>
    </row>
    <row r="16" spans="4:13">
      <c r="H16" t="s">
        <v>156</v>
      </c>
      <c r="I16" s="11"/>
      <c r="J16" s="11">
        <f>J15*12</f>
        <v>920400</v>
      </c>
      <c r="K16" t="s">
        <v>156</v>
      </c>
      <c r="L16" s="11"/>
      <c r="M16" s="11">
        <f>M15*12</f>
        <v>386400</v>
      </c>
    </row>
    <row r="17" spans="1:19">
      <c r="I17" s="11"/>
      <c r="J17" s="11"/>
    </row>
    <row r="18" spans="1:19">
      <c r="A18" t="s">
        <v>124</v>
      </c>
    </row>
    <row r="19" spans="1:19">
      <c r="A19" t="s">
        <v>663</v>
      </c>
      <c r="C19" t="s">
        <v>127</v>
      </c>
      <c r="D19" t="s">
        <v>159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</row>
    <row r="20" spans="1:19">
      <c r="B20" t="s">
        <v>140</v>
      </c>
      <c r="C20" s="24">
        <v>32200</v>
      </c>
      <c r="D20" s="24">
        <v>32200</v>
      </c>
      <c r="E20" s="24">
        <v>32200</v>
      </c>
      <c r="F20" s="24">
        <v>32200</v>
      </c>
      <c r="G20" s="24">
        <v>32200</v>
      </c>
      <c r="H20" s="24">
        <v>32200</v>
      </c>
      <c r="I20" s="24">
        <v>32200</v>
      </c>
      <c r="J20" s="24">
        <v>32200</v>
      </c>
      <c r="K20" s="24">
        <v>32200</v>
      </c>
      <c r="L20" s="24">
        <v>32200</v>
      </c>
      <c r="M20" s="24">
        <v>32200</v>
      </c>
      <c r="N20" s="24">
        <v>32200</v>
      </c>
      <c r="O20" s="3">
        <f>SUM(C20:N20)</f>
        <v>386400</v>
      </c>
      <c r="P20" t="s">
        <v>409</v>
      </c>
      <c r="S20" s="3">
        <f>O20-O27</f>
        <v>-534000</v>
      </c>
    </row>
    <row r="21" spans="1:19">
      <c r="B21" t="s">
        <v>141</v>
      </c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>
        <f>SUM(C21:N21)</f>
        <v>0</v>
      </c>
      <c r="P21" t="s">
        <v>410</v>
      </c>
      <c r="S21" s="3">
        <f>O20-O28</f>
        <v>-393131</v>
      </c>
    </row>
    <row r="22" spans="1:19">
      <c r="N22" t="s">
        <v>164</v>
      </c>
      <c r="O22" s="3">
        <f>O21-O20</f>
        <v>-386400</v>
      </c>
    </row>
    <row r="24" spans="1:19">
      <c r="I24" s="11"/>
      <c r="J24" s="11"/>
    </row>
    <row r="25" spans="1:19">
      <c r="A25" t="s">
        <v>123</v>
      </c>
      <c r="J25" t="s">
        <v>773</v>
      </c>
    </row>
    <row r="26" spans="1:19">
      <c r="A26" t="s">
        <v>663</v>
      </c>
      <c r="C26" t="s">
        <v>127</v>
      </c>
      <c r="D26" t="s">
        <v>159</v>
      </c>
      <c r="E26" t="s">
        <v>129</v>
      </c>
      <c r="F26" t="s">
        <v>130</v>
      </c>
      <c r="G26" t="s">
        <v>131</v>
      </c>
      <c r="H26" t="s">
        <v>132</v>
      </c>
      <c r="I26" t="s">
        <v>133</v>
      </c>
      <c r="J26" t="s">
        <v>134</v>
      </c>
      <c r="K26" t="s">
        <v>135</v>
      </c>
      <c r="L26" t="s">
        <v>136</v>
      </c>
      <c r="M26" t="s">
        <v>137</v>
      </c>
      <c r="N26" t="s">
        <v>138</v>
      </c>
    </row>
    <row r="27" spans="1:19">
      <c r="B27" t="s">
        <v>140</v>
      </c>
      <c r="C27" s="11">
        <f>$J$15</f>
        <v>76700</v>
      </c>
      <c r="D27" s="11">
        <f t="shared" ref="D27:N27" si="0">$J$15</f>
        <v>76700</v>
      </c>
      <c r="E27" s="11">
        <f t="shared" si="0"/>
        <v>76700</v>
      </c>
      <c r="F27" s="11">
        <f t="shared" si="0"/>
        <v>76700</v>
      </c>
      <c r="G27" s="11">
        <f t="shared" si="0"/>
        <v>76700</v>
      </c>
      <c r="H27" s="11">
        <f t="shared" si="0"/>
        <v>76700</v>
      </c>
      <c r="I27" s="11">
        <f t="shared" si="0"/>
        <v>76700</v>
      </c>
      <c r="J27" s="11">
        <f t="shared" si="0"/>
        <v>76700</v>
      </c>
      <c r="K27" s="11">
        <f t="shared" si="0"/>
        <v>76700</v>
      </c>
      <c r="L27" s="11">
        <f t="shared" si="0"/>
        <v>76700</v>
      </c>
      <c r="M27" s="11">
        <f t="shared" si="0"/>
        <v>76700</v>
      </c>
      <c r="N27" s="11">
        <f t="shared" si="0"/>
        <v>76700</v>
      </c>
      <c r="O27" s="3">
        <f>SUM(C27:N27)</f>
        <v>920400</v>
      </c>
    </row>
    <row r="28" spans="1:19">
      <c r="B28" t="s">
        <v>141</v>
      </c>
      <c r="C28" s="2">
        <v>76700</v>
      </c>
      <c r="D28" s="2">
        <v>76700</v>
      </c>
      <c r="E28" s="2">
        <v>76700</v>
      </c>
      <c r="F28" s="2">
        <v>76700</v>
      </c>
      <c r="G28" s="2">
        <v>76700</v>
      </c>
      <c r="H28" s="2">
        <v>76700</v>
      </c>
      <c r="I28" s="2">
        <v>75731</v>
      </c>
      <c r="J28" s="3">
        <v>29000</v>
      </c>
      <c r="K28" s="3">
        <v>29000</v>
      </c>
      <c r="L28" s="3">
        <v>32200</v>
      </c>
      <c r="M28" s="3">
        <v>76700</v>
      </c>
      <c r="N28" s="3">
        <v>76700</v>
      </c>
      <c r="O28" s="3">
        <f>SUM(C28:N28)</f>
        <v>779531</v>
      </c>
    </row>
    <row r="29" spans="1:19">
      <c r="N29" t="s">
        <v>164</v>
      </c>
      <c r="O29" s="3">
        <f>O28-O27</f>
        <v>-140869</v>
      </c>
    </row>
  </sheetData>
  <phoneticPr fontId="6"/>
  <hyperlinks>
    <hyperlink ref="H2" r:id="rId1" xr:uid="{39B94267-092C-4951-9919-B2C856295DCC}"/>
  </hyperlinks>
  <pageMargins left="0.7" right="0.7" top="0.75" bottom="0.75" header="0.3" footer="0.3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0DEA-23F1-47DA-AD7E-057F66F858C2}">
  <sheetPr>
    <tabColor rgb="FFFFC000"/>
  </sheetPr>
  <dimension ref="A6:O19"/>
  <sheetViews>
    <sheetView topLeftCell="A7"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  <c r="J6" t="s">
        <v>329</v>
      </c>
    </row>
    <row r="7" spans="1:15">
      <c r="D7" t="s">
        <v>246</v>
      </c>
      <c r="E7" t="s">
        <v>153</v>
      </c>
      <c r="G7" t="s">
        <v>246</v>
      </c>
      <c r="H7" t="s">
        <v>153</v>
      </c>
      <c r="J7" t="s">
        <v>246</v>
      </c>
      <c r="K7" t="s">
        <v>153</v>
      </c>
    </row>
    <row r="8" spans="1:15">
      <c r="D8" s="2"/>
      <c r="G8" s="1">
        <v>749</v>
      </c>
      <c r="H8">
        <v>1</v>
      </c>
      <c r="J8" s="1">
        <f>749*1.05</f>
        <v>786.45</v>
      </c>
      <c r="K8">
        <v>1</v>
      </c>
    </row>
    <row r="9" spans="1:15">
      <c r="E9" t="s">
        <v>126</v>
      </c>
      <c r="F9" s="2">
        <f>D8*E8</f>
        <v>0</v>
      </c>
      <c r="H9" t="s">
        <v>126</v>
      </c>
      <c r="I9" s="11">
        <f>G8*H8</f>
        <v>749</v>
      </c>
      <c r="K9" t="s">
        <v>126</v>
      </c>
      <c r="L9" s="124">
        <f>J8*K8</f>
        <v>786.45</v>
      </c>
    </row>
    <row r="10" spans="1:15">
      <c r="H10" t="s">
        <v>156</v>
      </c>
      <c r="I10" s="11">
        <f>I9*12</f>
        <v>8988</v>
      </c>
      <c r="K10" t="s">
        <v>156</v>
      </c>
      <c r="L10" s="124">
        <f>L9*12</f>
        <v>9437.4000000000015</v>
      </c>
    </row>
    <row r="11" spans="1:15">
      <c r="I11" s="11"/>
      <c r="L11" s="11"/>
    </row>
    <row r="12" spans="1:15">
      <c r="A12" t="s">
        <v>124</v>
      </c>
      <c r="L12" t="s">
        <v>554</v>
      </c>
    </row>
    <row r="13" spans="1:15">
      <c r="C13" t="s">
        <v>127</v>
      </c>
      <c r="D13" t="s">
        <v>159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</row>
    <row r="14" spans="1:15">
      <c r="C14" s="26">
        <v>786</v>
      </c>
      <c r="D14" s="26">
        <v>786</v>
      </c>
      <c r="E14" s="26">
        <v>786</v>
      </c>
      <c r="F14" s="26">
        <v>786</v>
      </c>
      <c r="G14" s="26">
        <v>786</v>
      </c>
      <c r="H14" s="26">
        <v>786</v>
      </c>
      <c r="I14" s="26">
        <v>786</v>
      </c>
      <c r="J14" s="26">
        <v>786</v>
      </c>
      <c r="K14" s="26">
        <v>786</v>
      </c>
      <c r="L14" s="26">
        <v>786</v>
      </c>
      <c r="M14" s="26">
        <v>786</v>
      </c>
      <c r="N14" s="26">
        <v>786</v>
      </c>
      <c r="O14" s="3">
        <f>SUM(C14:N14)</f>
        <v>9432</v>
      </c>
    </row>
    <row r="15" spans="1:15">
      <c r="I15" s="11"/>
      <c r="L15" s="11"/>
    </row>
    <row r="16" spans="1:15">
      <c r="A16" t="s">
        <v>123</v>
      </c>
    </row>
    <row r="17" spans="3:15">
      <c r="C17" t="s">
        <v>127</v>
      </c>
      <c r="D17" t="s">
        <v>159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136</v>
      </c>
      <c r="M17" t="s">
        <v>137</v>
      </c>
      <c r="N17" t="s">
        <v>138</v>
      </c>
    </row>
    <row r="18" spans="3:15">
      <c r="C18" s="298">
        <v>749</v>
      </c>
      <c r="D18" s="265">
        <v>749</v>
      </c>
      <c r="E18" s="265">
        <v>749</v>
      </c>
      <c r="F18" s="265">
        <v>749</v>
      </c>
      <c r="G18" s="265">
        <v>749</v>
      </c>
      <c r="H18" s="265">
        <v>749</v>
      </c>
      <c r="I18" s="265">
        <v>749</v>
      </c>
      <c r="J18" s="265">
        <v>749</v>
      </c>
      <c r="K18" s="265">
        <v>749</v>
      </c>
      <c r="L18" s="265">
        <v>749</v>
      </c>
      <c r="M18" s="265">
        <v>749</v>
      </c>
      <c r="N18" s="266">
        <v>749</v>
      </c>
      <c r="O18" s="3">
        <f>SUM(C18:N18)</f>
        <v>8988</v>
      </c>
    </row>
    <row r="19" spans="3:15">
      <c r="D19">
        <v>750</v>
      </c>
      <c r="E19">
        <v>750</v>
      </c>
      <c r="F19">
        <v>749</v>
      </c>
      <c r="G19">
        <v>749</v>
      </c>
      <c r="H19">
        <v>750</v>
      </c>
      <c r="I19">
        <v>750</v>
      </c>
      <c r="J19">
        <v>750</v>
      </c>
      <c r="K19">
        <v>750</v>
      </c>
      <c r="L19">
        <v>750</v>
      </c>
    </row>
  </sheetData>
  <phoneticPr fontId="6"/>
  <pageMargins left="0.7" right="0.7" top="0.75" bottom="0.75" header="0.3" footer="0.3"/>
  <drawing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4264-8B23-4305-A1C0-BC770C9F438D}">
  <sheetPr codeName="Sheet19">
    <tabColor rgb="FFFFC000"/>
  </sheetPr>
  <dimension ref="A1:V38"/>
  <sheetViews>
    <sheetView zoomScale="70" zoomScaleNormal="70" workbookViewId="0">
      <selection activeCell="K20" sqref="K20"/>
    </sheetView>
  </sheetViews>
  <sheetFormatPr defaultRowHeight="18"/>
  <cols>
    <col min="3" max="3" width="9.125" bestFit="1" customWidth="1"/>
    <col min="4" max="4" width="13.25" bestFit="1" customWidth="1"/>
    <col min="5" max="5" width="12.875" bestFit="1" customWidth="1"/>
    <col min="6" max="6" width="15.625" bestFit="1" customWidth="1"/>
    <col min="7" max="7" width="12" bestFit="1" customWidth="1"/>
    <col min="8" max="8" width="13.125" bestFit="1" customWidth="1"/>
    <col min="9" max="9" width="12.875" bestFit="1" customWidth="1"/>
    <col min="10" max="13" width="10.5" bestFit="1" customWidth="1"/>
    <col min="14" max="14" width="14.375" customWidth="1"/>
    <col min="15" max="16" width="10.5" bestFit="1" customWidth="1"/>
    <col min="17" max="17" width="12.25" bestFit="1" customWidth="1"/>
    <col min="18" max="18" width="11.875" bestFit="1" customWidth="1"/>
    <col min="20" max="20" width="11.875" bestFit="1" customWidth="1"/>
    <col min="21" max="21" width="12.25" bestFit="1" customWidth="1"/>
    <col min="22" max="22" width="10.875" customWidth="1"/>
  </cols>
  <sheetData>
    <row r="1" spans="1:22">
      <c r="D1" s="19" t="s">
        <v>774</v>
      </c>
      <c r="E1" s="19"/>
      <c r="F1" s="19">
        <v>0</v>
      </c>
      <c r="G1" s="19" t="s">
        <v>730</v>
      </c>
      <c r="H1" s="19"/>
      <c r="I1" s="19"/>
      <c r="J1" s="19"/>
      <c r="K1" s="19"/>
    </row>
    <row r="2" spans="1:22">
      <c r="D2" s="19"/>
      <c r="E2" s="19"/>
      <c r="F2" s="19"/>
      <c r="G2" s="19"/>
      <c r="H2" s="19"/>
      <c r="I2" s="19"/>
      <c r="J2" s="19"/>
      <c r="K2" s="19"/>
    </row>
    <row r="3" spans="1:22">
      <c r="D3" s="19"/>
      <c r="E3" s="19"/>
      <c r="F3" s="19"/>
      <c r="G3" s="19"/>
      <c r="H3" s="19"/>
      <c r="I3" s="19"/>
      <c r="J3" s="19"/>
      <c r="K3" s="19"/>
    </row>
    <row r="4" spans="1:22">
      <c r="D4" s="19"/>
      <c r="E4" s="19"/>
      <c r="F4" s="19"/>
      <c r="G4" s="19" t="s">
        <v>328</v>
      </c>
      <c r="H4" s="19" t="s">
        <v>123</v>
      </c>
      <c r="I4" s="19" t="s">
        <v>329</v>
      </c>
      <c r="K4" s="19"/>
    </row>
    <row r="5" spans="1:22">
      <c r="D5" s="19" t="s">
        <v>734</v>
      </c>
      <c r="E5" s="19" t="s">
        <v>735</v>
      </c>
      <c r="F5" s="19" t="s">
        <v>775</v>
      </c>
      <c r="G5" s="19" t="s">
        <v>737</v>
      </c>
      <c r="H5" s="19" t="s">
        <v>759</v>
      </c>
      <c r="I5" s="19" t="s">
        <v>759</v>
      </c>
      <c r="K5" s="19"/>
    </row>
    <row r="6" spans="1:22" ht="20.100000000000001">
      <c r="D6" s="20" t="s">
        <v>776</v>
      </c>
      <c r="E6" s="19" t="s">
        <v>777</v>
      </c>
      <c r="F6" s="127">
        <v>6300</v>
      </c>
      <c r="G6" s="19">
        <v>1</v>
      </c>
      <c r="H6" s="19">
        <v>1</v>
      </c>
      <c r="I6" s="19">
        <v>1</v>
      </c>
      <c r="J6" s="19"/>
      <c r="K6" s="19"/>
      <c r="N6" s="4"/>
      <c r="P6" s="4"/>
      <c r="Q6" s="4"/>
    </row>
    <row r="7" spans="1:22" ht="20.100000000000001">
      <c r="D7" s="20"/>
      <c r="E7" s="19"/>
      <c r="F7" s="20"/>
      <c r="G7" s="19"/>
      <c r="H7" s="19"/>
      <c r="I7" s="19"/>
      <c r="J7" s="19"/>
      <c r="K7" s="19"/>
    </row>
    <row r="8" spans="1:22">
      <c r="C8" s="16"/>
      <c r="D8" s="21"/>
      <c r="E8" s="21"/>
      <c r="F8" s="122"/>
      <c r="G8" s="21"/>
      <c r="H8" s="21"/>
      <c r="I8" s="21"/>
      <c r="J8" s="21"/>
      <c r="K8" s="21"/>
      <c r="L8" s="16"/>
      <c r="M8" s="16"/>
      <c r="N8" s="16"/>
    </row>
    <row r="9" spans="1:22" ht="20.100000000000001">
      <c r="C9" s="16"/>
      <c r="D9" s="21"/>
      <c r="E9" s="21"/>
      <c r="F9" s="20"/>
      <c r="G9" s="20"/>
      <c r="H9" s="21"/>
      <c r="I9" s="21"/>
      <c r="J9" s="21"/>
      <c r="K9" s="21"/>
      <c r="L9" s="16"/>
      <c r="M9" s="16"/>
      <c r="N9" s="16"/>
      <c r="R9" s="17"/>
      <c r="T9" s="1"/>
      <c r="U9" s="3"/>
    </row>
    <row r="11" spans="1:22">
      <c r="A11" t="s">
        <v>420</v>
      </c>
      <c r="D11" t="s">
        <v>127</v>
      </c>
      <c r="E11" t="s">
        <v>159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</row>
    <row r="12" spans="1:22">
      <c r="A12" t="s">
        <v>778</v>
      </c>
      <c r="D12" s="26">
        <v>5300</v>
      </c>
      <c r="E12" s="26">
        <v>5300</v>
      </c>
      <c r="F12" s="26">
        <v>5300</v>
      </c>
      <c r="G12" s="26">
        <v>5300</v>
      </c>
      <c r="H12" s="26">
        <v>5300</v>
      </c>
      <c r="I12" s="26">
        <v>5300</v>
      </c>
      <c r="J12" s="26">
        <v>5300</v>
      </c>
      <c r="K12" s="26">
        <v>5300</v>
      </c>
      <c r="L12" s="26">
        <v>5300</v>
      </c>
      <c r="M12" s="26">
        <v>5300</v>
      </c>
      <c r="N12" s="26">
        <v>5300</v>
      </c>
      <c r="O12" s="26">
        <v>5300</v>
      </c>
      <c r="P12" s="3">
        <f>SUM(D12:O12)</f>
        <v>63600</v>
      </c>
      <c r="Q12" s="3">
        <f>P12-P21</f>
        <v>-12000</v>
      </c>
    </row>
    <row r="13" spans="1:22">
      <c r="P13" s="2">
        <f>SUM(D13:O13)</f>
        <v>0</v>
      </c>
      <c r="Q13" s="3">
        <f>P12-P22</f>
        <v>3630</v>
      </c>
      <c r="U13" s="8"/>
    </row>
    <row r="14" spans="1:22">
      <c r="U14" s="8"/>
    </row>
    <row r="15" spans="1:22">
      <c r="U15" s="8"/>
      <c r="V15" s="8"/>
    </row>
    <row r="17" spans="1:22">
      <c r="C17" s="16"/>
      <c r="D17" s="21"/>
      <c r="E17" s="21"/>
      <c r="F17" s="21"/>
      <c r="G17" s="21"/>
      <c r="H17" s="21"/>
      <c r="I17" s="21"/>
      <c r="J17" s="21"/>
      <c r="K17" s="21"/>
      <c r="L17" s="16"/>
      <c r="M17" s="16"/>
      <c r="N17" s="16"/>
      <c r="T17" s="17"/>
    </row>
    <row r="20" spans="1:22">
      <c r="A20" t="s">
        <v>389</v>
      </c>
      <c r="D20" t="s">
        <v>127</v>
      </c>
      <c r="E20" t="s">
        <v>159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</row>
    <row r="21" spans="1:22">
      <c r="A21" t="s">
        <v>778</v>
      </c>
      <c r="D21" s="11">
        <f>$F$6</f>
        <v>6300</v>
      </c>
      <c r="E21" s="11">
        <f t="shared" ref="E21:O21" si="0">$F$6</f>
        <v>6300</v>
      </c>
      <c r="F21" s="11">
        <f t="shared" si="0"/>
        <v>6300</v>
      </c>
      <c r="G21" s="11">
        <f t="shared" si="0"/>
        <v>6300</v>
      </c>
      <c r="H21" s="11">
        <f t="shared" si="0"/>
        <v>6300</v>
      </c>
      <c r="I21" s="11">
        <f t="shared" si="0"/>
        <v>6300</v>
      </c>
      <c r="J21" s="11">
        <f t="shared" si="0"/>
        <v>6300</v>
      </c>
      <c r="K21" s="11">
        <f t="shared" si="0"/>
        <v>6300</v>
      </c>
      <c r="L21" s="11">
        <f t="shared" si="0"/>
        <v>6300</v>
      </c>
      <c r="M21" s="11">
        <f t="shared" si="0"/>
        <v>6300</v>
      </c>
      <c r="N21" s="11">
        <f t="shared" si="0"/>
        <v>6300</v>
      </c>
      <c r="O21" s="11">
        <f t="shared" si="0"/>
        <v>6300</v>
      </c>
      <c r="P21" s="3">
        <f>SUM(D21:O21)</f>
        <v>75600</v>
      </c>
    </row>
    <row r="22" spans="1:22">
      <c r="D22">
        <v>5263</v>
      </c>
      <c r="E22">
        <v>5263</v>
      </c>
      <c r="F22">
        <v>5263</v>
      </c>
      <c r="G22">
        <v>5263</v>
      </c>
      <c r="H22">
        <v>5263</v>
      </c>
      <c r="J22">
        <v>5263</v>
      </c>
      <c r="K22">
        <v>5264</v>
      </c>
      <c r="L22">
        <v>5264</v>
      </c>
      <c r="M22">
        <v>5264</v>
      </c>
      <c r="N22">
        <v>6300</v>
      </c>
      <c r="O22">
        <v>6300</v>
      </c>
      <c r="P22" s="2">
        <f>SUM(D22:O22)</f>
        <v>59970</v>
      </c>
      <c r="U22" s="8"/>
    </row>
    <row r="23" spans="1:22">
      <c r="U23" s="8"/>
    </row>
    <row r="24" spans="1:22">
      <c r="U24" s="8"/>
      <c r="V24" s="8"/>
    </row>
    <row r="26" spans="1:22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2"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22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Q28" s="8"/>
    </row>
    <row r="29" spans="1:22">
      <c r="M29" s="8"/>
    </row>
    <row r="30" spans="1:22">
      <c r="N30" s="8"/>
    </row>
    <row r="31" spans="1:22">
      <c r="J31" s="8"/>
      <c r="N31" s="8"/>
    </row>
    <row r="32" spans="1:22">
      <c r="J32" s="3"/>
      <c r="N32" s="8"/>
    </row>
    <row r="34" spans="10:13">
      <c r="J34" s="8"/>
    </row>
    <row r="38" spans="10:13">
      <c r="J38" s="8"/>
      <c r="M38" s="8"/>
    </row>
  </sheetData>
  <phoneticPr fontId="6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99DA-6AE4-4EC3-AB40-C18B34F40885}">
  <sheetPr>
    <tabColor rgb="FFFFC000"/>
  </sheetPr>
  <dimension ref="A5:V39"/>
  <sheetViews>
    <sheetView topLeftCell="C10" zoomScale="70" zoomScaleNormal="70" workbookViewId="0">
      <selection activeCell="K20" sqref="K20"/>
    </sheetView>
  </sheetViews>
  <sheetFormatPr defaultRowHeight="18"/>
  <cols>
    <col min="3" max="3" width="13" customWidth="1"/>
    <col min="4" max="4" width="13.25" bestFit="1" customWidth="1"/>
    <col min="5" max="5" width="12.875" bestFit="1" customWidth="1"/>
    <col min="6" max="6" width="15.625" bestFit="1" customWidth="1"/>
    <col min="7" max="7" width="12" bestFit="1" customWidth="1"/>
    <col min="8" max="8" width="13.125" bestFit="1" customWidth="1"/>
    <col min="9" max="9" width="12.875" bestFit="1" customWidth="1"/>
    <col min="10" max="13" width="10.5" bestFit="1" customWidth="1"/>
    <col min="14" max="14" width="14.375" customWidth="1"/>
    <col min="15" max="16" width="10.5" bestFit="1" customWidth="1"/>
    <col min="17" max="17" width="12.25" bestFit="1" customWidth="1"/>
    <col min="18" max="18" width="11.875" bestFit="1" customWidth="1"/>
    <col min="20" max="20" width="11.875" bestFit="1" customWidth="1"/>
    <col min="21" max="21" width="12.25" bestFit="1" customWidth="1"/>
    <col min="22" max="22" width="10.875" customWidth="1"/>
  </cols>
  <sheetData>
    <row r="5" spans="1:21">
      <c r="D5" s="19"/>
      <c r="E5" s="19"/>
      <c r="F5" s="19"/>
      <c r="G5" s="19"/>
      <c r="H5" s="19"/>
      <c r="I5" s="19"/>
      <c r="J5" s="19"/>
      <c r="K5" s="19"/>
    </row>
    <row r="6" spans="1:21">
      <c r="D6" s="19"/>
      <c r="E6" s="19"/>
      <c r="F6" s="19"/>
      <c r="G6" s="19"/>
      <c r="H6" s="19"/>
      <c r="I6" s="19"/>
      <c r="J6" s="19"/>
      <c r="K6" s="19"/>
    </row>
    <row r="7" spans="1:21">
      <c r="D7" s="19"/>
      <c r="E7" s="19"/>
      <c r="F7" s="19"/>
      <c r="G7" s="19"/>
      <c r="H7" s="19"/>
      <c r="I7" s="19"/>
      <c r="J7" s="19"/>
      <c r="K7" s="19"/>
    </row>
    <row r="8" spans="1:21">
      <c r="D8" s="19"/>
      <c r="E8" s="19"/>
      <c r="F8" s="19"/>
      <c r="G8" s="19"/>
      <c r="H8" s="19"/>
      <c r="I8" s="19"/>
      <c r="J8" s="19"/>
      <c r="K8" s="19"/>
    </row>
    <row r="9" spans="1:21">
      <c r="D9" s="19"/>
      <c r="E9" s="19"/>
      <c r="F9" s="19"/>
      <c r="G9" s="19"/>
      <c r="H9" s="19"/>
      <c r="I9" s="19"/>
      <c r="J9" s="19"/>
      <c r="K9" s="19"/>
    </row>
    <row r="11" spans="1:21">
      <c r="A11" t="s">
        <v>420</v>
      </c>
    </row>
    <row r="12" spans="1:21">
      <c r="A12" t="s">
        <v>779</v>
      </c>
      <c r="D12" t="s">
        <v>127</v>
      </c>
      <c r="E12" t="s">
        <v>159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  <c r="Q12" t="s">
        <v>780</v>
      </c>
    </row>
    <row r="13" spans="1:21">
      <c r="C13" t="s">
        <v>140</v>
      </c>
      <c r="D13" s="26">
        <v>1200000</v>
      </c>
      <c r="E13" s="26">
        <v>1200000</v>
      </c>
      <c r="F13" s="26">
        <v>1200000</v>
      </c>
      <c r="G13" s="26">
        <v>1200000</v>
      </c>
      <c r="H13" s="26">
        <v>1200000</v>
      </c>
      <c r="I13" s="26">
        <v>1200000</v>
      </c>
      <c r="J13" s="26">
        <v>1200000</v>
      </c>
      <c r="K13" s="26">
        <v>1200000</v>
      </c>
      <c r="L13" s="26">
        <v>1200000</v>
      </c>
      <c r="M13" s="26">
        <v>1200000</v>
      </c>
      <c r="N13" s="26">
        <v>1200000</v>
      </c>
      <c r="O13" s="26">
        <v>1200000</v>
      </c>
      <c r="P13" s="263">
        <f>SUM(D13:O13)</f>
        <v>14400000</v>
      </c>
      <c r="Q13" t="s">
        <v>781</v>
      </c>
      <c r="R13" s="263"/>
      <c r="S13" s="3">
        <f>P13-P21</f>
        <v>0</v>
      </c>
    </row>
    <row r="14" spans="1:21">
      <c r="C14" t="s">
        <v>141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>
        <f>SUM(D14:O14)</f>
        <v>0</v>
      </c>
      <c r="Q14" t="s">
        <v>782</v>
      </c>
      <c r="R14" s="263"/>
      <c r="S14" s="3">
        <f>P13-P22</f>
        <v>671219</v>
      </c>
      <c r="U14" s="8"/>
    </row>
    <row r="15" spans="1:21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176</v>
      </c>
      <c r="P15" s="3">
        <f>P14/12</f>
        <v>0</v>
      </c>
      <c r="U15" s="8"/>
    </row>
    <row r="16" spans="1:21">
      <c r="U16" s="8"/>
    </row>
    <row r="17" spans="1:22">
      <c r="D17" s="19"/>
      <c r="E17" s="19"/>
      <c r="F17" s="19"/>
      <c r="G17" s="19"/>
      <c r="H17" s="19"/>
      <c r="I17" s="19"/>
      <c r="J17" s="19"/>
      <c r="K17" s="19"/>
    </row>
    <row r="19" spans="1:22">
      <c r="A19" t="s">
        <v>389</v>
      </c>
    </row>
    <row r="20" spans="1:22">
      <c r="A20" t="s">
        <v>779</v>
      </c>
      <c r="D20" t="s">
        <v>127</v>
      </c>
      <c r="E20" t="s">
        <v>159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</row>
    <row r="21" spans="1:22">
      <c r="C21" t="s">
        <v>140</v>
      </c>
      <c r="D21" s="26">
        <v>1200000</v>
      </c>
      <c r="E21" s="26">
        <v>1200000</v>
      </c>
      <c r="F21" s="26">
        <v>1200000</v>
      </c>
      <c r="G21" s="26">
        <v>1200000</v>
      </c>
      <c r="H21" s="26">
        <v>1200000</v>
      </c>
      <c r="I21" s="26">
        <v>1200000</v>
      </c>
      <c r="J21" s="26">
        <v>1200000</v>
      </c>
      <c r="K21" s="26">
        <v>1200000</v>
      </c>
      <c r="L21" s="26">
        <v>1200000</v>
      </c>
      <c r="M21" s="26">
        <v>1200000</v>
      </c>
      <c r="N21" s="26">
        <v>1200000</v>
      </c>
      <c r="O21" s="26">
        <v>1200000</v>
      </c>
      <c r="P21" s="3">
        <f>SUM(D21:O21)</f>
        <v>14400000</v>
      </c>
    </row>
    <row r="22" spans="1:22">
      <c r="C22" t="s">
        <v>141</v>
      </c>
      <c r="D22" s="2">
        <v>1102447</v>
      </c>
      <c r="E22" s="2">
        <v>1149869</v>
      </c>
      <c r="F22" s="2">
        <v>1159779</v>
      </c>
      <c r="G22" s="2">
        <v>1049416</v>
      </c>
      <c r="H22" s="2">
        <v>1158881</v>
      </c>
      <c r="I22" s="2">
        <v>1114499</v>
      </c>
      <c r="J22" s="2">
        <v>1127750</v>
      </c>
      <c r="K22" s="2">
        <v>1126193</v>
      </c>
      <c r="L22" s="2">
        <v>1174059</v>
      </c>
      <c r="M22" s="2">
        <v>1165888</v>
      </c>
      <c r="N22" s="2">
        <v>1200000</v>
      </c>
      <c r="O22" s="2">
        <v>1200000</v>
      </c>
      <c r="P22" s="263">
        <f>SUM(D22:O22)</f>
        <v>13728781</v>
      </c>
      <c r="U22" s="8"/>
    </row>
    <row r="23" spans="1:2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176</v>
      </c>
      <c r="P23" s="3">
        <f>P22/12</f>
        <v>1144065.0833333333</v>
      </c>
      <c r="U23" s="8"/>
    </row>
    <row r="24" spans="1:22">
      <c r="U24" s="8"/>
    </row>
    <row r="25" spans="1:22">
      <c r="A25" t="s">
        <v>783</v>
      </c>
      <c r="D25" t="s">
        <v>127</v>
      </c>
      <c r="E25" t="s">
        <v>159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136</v>
      </c>
      <c r="N25" t="s">
        <v>137</v>
      </c>
      <c r="O25" t="s">
        <v>138</v>
      </c>
      <c r="U25" s="8"/>
      <c r="V25" s="8"/>
    </row>
    <row r="26" spans="1:22">
      <c r="A26" t="s">
        <v>779</v>
      </c>
      <c r="D26" s="2">
        <v>920647</v>
      </c>
      <c r="E26" s="2"/>
      <c r="F26" s="2">
        <v>1012768</v>
      </c>
      <c r="G26" s="2">
        <v>899350</v>
      </c>
      <c r="H26" s="2">
        <v>1988672</v>
      </c>
      <c r="I26" s="2">
        <v>1064051</v>
      </c>
      <c r="J26" s="2">
        <v>1111625</v>
      </c>
      <c r="K26" s="2">
        <v>1094916</v>
      </c>
      <c r="L26" s="2">
        <v>800000</v>
      </c>
      <c r="M26" s="2">
        <v>800000</v>
      </c>
      <c r="N26" s="2">
        <v>800000</v>
      </c>
      <c r="O26" s="2">
        <v>800000</v>
      </c>
    </row>
    <row r="27" spans="1:22">
      <c r="D27" s="8" t="s">
        <v>784</v>
      </c>
      <c r="E27" s="8">
        <f>AVERAGE(D26:O26)</f>
        <v>1026548.0909090909</v>
      </c>
      <c r="F27" s="8"/>
      <c r="G27" s="8"/>
      <c r="H27" s="8"/>
      <c r="I27" s="8"/>
      <c r="J27" s="8"/>
      <c r="K27" s="8"/>
      <c r="L27" s="8"/>
      <c r="M27" s="8"/>
      <c r="N27" s="8"/>
    </row>
    <row r="28" spans="1:22"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2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Q29" s="8"/>
    </row>
    <row r="30" spans="1:22">
      <c r="M30" s="8"/>
    </row>
    <row r="31" spans="1:22">
      <c r="N31" s="8"/>
    </row>
    <row r="32" spans="1:22">
      <c r="J32" s="8"/>
      <c r="N32" s="8"/>
    </row>
    <row r="33" spans="10:14">
      <c r="J33" s="3"/>
      <c r="N33" s="8"/>
    </row>
    <row r="35" spans="10:14">
      <c r="J35" s="8"/>
    </row>
    <row r="39" spans="10:14">
      <c r="J39" s="8"/>
      <c r="M39" s="8"/>
    </row>
  </sheetData>
  <phoneticPr fontId="6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811A-BE59-4732-8E98-32E2ECBF4C7D}">
  <sheetPr>
    <tabColor rgb="FFFFC000"/>
  </sheetPr>
  <dimension ref="A12:V37"/>
  <sheetViews>
    <sheetView zoomScale="70" zoomScaleNormal="70" workbookViewId="0">
      <selection activeCell="K20" sqref="K20"/>
    </sheetView>
  </sheetViews>
  <sheetFormatPr defaultRowHeight="18"/>
  <cols>
    <col min="3" max="3" width="13" customWidth="1"/>
    <col min="4" max="4" width="13.25" bestFit="1" customWidth="1"/>
    <col min="5" max="5" width="12.875" bestFit="1" customWidth="1"/>
    <col min="6" max="6" width="15.625" bestFit="1" customWidth="1"/>
    <col min="7" max="7" width="12" bestFit="1" customWidth="1"/>
    <col min="8" max="8" width="13.125" bestFit="1" customWidth="1"/>
    <col min="9" max="9" width="12.875" bestFit="1" customWidth="1"/>
    <col min="10" max="13" width="10.5" bestFit="1" customWidth="1"/>
    <col min="14" max="14" width="14.375" customWidth="1"/>
    <col min="15" max="16" width="10.5" bestFit="1" customWidth="1"/>
    <col min="17" max="17" width="22" customWidth="1"/>
    <col min="18" max="18" width="11.875" bestFit="1" customWidth="1"/>
    <col min="20" max="20" width="11.875" bestFit="1" customWidth="1"/>
    <col min="21" max="21" width="12.25" bestFit="1" customWidth="1"/>
    <col min="22" max="22" width="10.875" customWidth="1"/>
  </cols>
  <sheetData>
    <row r="12" spans="1:21">
      <c r="D12" s="19"/>
      <c r="E12" s="19"/>
      <c r="F12" s="19"/>
      <c r="G12" s="19"/>
      <c r="H12" s="19"/>
      <c r="I12" s="19"/>
      <c r="J12" s="19"/>
      <c r="K12" s="19"/>
    </row>
    <row r="13" spans="1:21">
      <c r="D13" s="19"/>
      <c r="E13" s="19"/>
      <c r="F13" s="19"/>
      <c r="G13" s="19"/>
      <c r="H13" s="19"/>
      <c r="I13" s="19"/>
      <c r="J13" s="19"/>
      <c r="K13" s="19"/>
      <c r="L13" t="s">
        <v>785</v>
      </c>
    </row>
    <row r="14" spans="1:21">
      <c r="A14" t="s">
        <v>420</v>
      </c>
      <c r="D14" t="s">
        <v>127</v>
      </c>
      <c r="E14" t="s">
        <v>159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 spans="1:21">
      <c r="A15" t="s">
        <v>786</v>
      </c>
      <c r="C15" t="s">
        <v>140</v>
      </c>
      <c r="D15" s="26">
        <v>1738</v>
      </c>
      <c r="E15" s="26">
        <v>1738</v>
      </c>
      <c r="F15" s="26">
        <v>1738</v>
      </c>
      <c r="G15" s="26">
        <v>1738</v>
      </c>
      <c r="H15" s="26">
        <v>1738</v>
      </c>
      <c r="I15" s="26">
        <v>1738</v>
      </c>
      <c r="J15" s="26">
        <v>1738</v>
      </c>
      <c r="K15" s="26">
        <v>1738</v>
      </c>
      <c r="L15" s="26">
        <f>1738+1350</f>
        <v>3088</v>
      </c>
      <c r="M15" s="26">
        <v>1738</v>
      </c>
      <c r="N15" s="26">
        <v>1738</v>
      </c>
      <c r="O15" s="26">
        <v>1738</v>
      </c>
      <c r="P15" s="263">
        <f>SUM(D15:O15)</f>
        <v>22206</v>
      </c>
      <c r="Q15" t="s">
        <v>781</v>
      </c>
      <c r="R15" s="263">
        <f>P15-P20</f>
        <v>5046</v>
      </c>
    </row>
    <row r="16" spans="1:21">
      <c r="C16" t="s">
        <v>141</v>
      </c>
      <c r="P16" s="2">
        <f>SUM(D16:O16)</f>
        <v>0</v>
      </c>
      <c r="Q16" t="s">
        <v>782</v>
      </c>
      <c r="R16" s="3">
        <f>P15-P21</f>
        <v>2916</v>
      </c>
      <c r="U16" s="8"/>
    </row>
    <row r="19" spans="1:22">
      <c r="A19" t="s">
        <v>389</v>
      </c>
      <c r="D19" t="s">
        <v>127</v>
      </c>
      <c r="E19" t="s">
        <v>159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137</v>
      </c>
      <c r="O19" t="s">
        <v>138</v>
      </c>
    </row>
    <row r="20" spans="1:22">
      <c r="A20" t="s">
        <v>786</v>
      </c>
      <c r="C20" t="s">
        <v>140</v>
      </c>
      <c r="D20" s="26">
        <v>1430</v>
      </c>
      <c r="E20" s="26">
        <v>1430</v>
      </c>
      <c r="F20" s="26">
        <v>1430</v>
      </c>
      <c r="G20" s="26">
        <v>1430</v>
      </c>
      <c r="H20" s="26">
        <v>1430</v>
      </c>
      <c r="I20" s="26">
        <v>1430</v>
      </c>
      <c r="J20" s="26">
        <v>1430</v>
      </c>
      <c r="K20" s="26">
        <v>1430</v>
      </c>
      <c r="L20" s="26">
        <v>1430</v>
      </c>
      <c r="M20" s="26">
        <v>1430</v>
      </c>
      <c r="N20" s="26">
        <v>1430</v>
      </c>
      <c r="O20" s="26">
        <v>1430</v>
      </c>
      <c r="P20" s="263">
        <f>SUM(D20:O20)</f>
        <v>17160</v>
      </c>
    </row>
    <row r="21" spans="1:22">
      <c r="C21" t="s">
        <v>141</v>
      </c>
      <c r="D21">
        <v>1430</v>
      </c>
      <c r="E21">
        <v>1430</v>
      </c>
      <c r="F21">
        <v>1430</v>
      </c>
      <c r="G21">
        <v>1430</v>
      </c>
      <c r="H21">
        <v>1430</v>
      </c>
      <c r="I21">
        <v>1430</v>
      </c>
      <c r="J21">
        <v>1430</v>
      </c>
      <c r="K21">
        <v>1738</v>
      </c>
      <c r="L21">
        <v>2944</v>
      </c>
      <c r="M21">
        <v>1738</v>
      </c>
      <c r="N21">
        <v>1430</v>
      </c>
      <c r="O21">
        <v>1430</v>
      </c>
      <c r="P21" s="2">
        <f>SUM(D21:O21)</f>
        <v>19290</v>
      </c>
      <c r="U21" s="8"/>
    </row>
    <row r="22" spans="1:22">
      <c r="U22" s="8"/>
    </row>
    <row r="23" spans="1:22">
      <c r="A23" t="s">
        <v>783</v>
      </c>
      <c r="D23" t="s">
        <v>127</v>
      </c>
      <c r="E23" t="s">
        <v>159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137</v>
      </c>
      <c r="O23" t="s">
        <v>138</v>
      </c>
      <c r="U23" s="8"/>
      <c r="V23" s="8"/>
    </row>
    <row r="24" spans="1:22">
      <c r="A24" t="s">
        <v>786</v>
      </c>
      <c r="D24" s="134">
        <f t="shared" ref="D24:K24" si="0">1300+130</f>
        <v>1430</v>
      </c>
      <c r="E24" s="134">
        <f t="shared" si="0"/>
        <v>1430</v>
      </c>
      <c r="F24" s="134">
        <f t="shared" si="0"/>
        <v>1430</v>
      </c>
      <c r="G24" s="134">
        <f t="shared" si="0"/>
        <v>1430</v>
      </c>
      <c r="H24" s="134">
        <f t="shared" si="0"/>
        <v>1430</v>
      </c>
      <c r="I24" s="134">
        <f t="shared" si="0"/>
        <v>1430</v>
      </c>
      <c r="J24" s="134">
        <f t="shared" si="0"/>
        <v>1430</v>
      </c>
      <c r="K24" s="134">
        <f t="shared" si="0"/>
        <v>1430</v>
      </c>
      <c r="L24" s="135">
        <v>1430</v>
      </c>
      <c r="M24" s="135">
        <v>1430</v>
      </c>
      <c r="N24" s="135">
        <v>1430</v>
      </c>
      <c r="O24" s="136">
        <v>1430</v>
      </c>
    </row>
    <row r="25" spans="1:22">
      <c r="D25" s="8" t="s">
        <v>784</v>
      </c>
      <c r="E25" s="8">
        <f>AVERAGE(D24:O24)</f>
        <v>1430</v>
      </c>
      <c r="F25" s="8"/>
      <c r="G25" s="8"/>
      <c r="H25" s="8"/>
      <c r="I25" s="8"/>
      <c r="J25" s="8"/>
      <c r="K25" s="8"/>
      <c r="L25" s="8"/>
      <c r="M25" s="8"/>
      <c r="N25" s="8"/>
    </row>
    <row r="26" spans="1:22">
      <c r="D26" s="3"/>
      <c r="E26" s="3"/>
      <c r="F26" s="3"/>
      <c r="G26" s="3"/>
      <c r="H26" s="3"/>
      <c r="I26" s="3"/>
      <c r="J26" s="3"/>
      <c r="K26" s="3"/>
      <c r="L26" s="3">
        <f>L21-K21</f>
        <v>1206</v>
      </c>
      <c r="M26" s="3"/>
    </row>
    <row r="27" spans="1:22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Q27" s="8"/>
    </row>
    <row r="28" spans="1:22">
      <c r="M28" s="8"/>
    </row>
    <row r="29" spans="1:22">
      <c r="N29" s="8"/>
    </row>
    <row r="30" spans="1:22">
      <c r="J30" s="8"/>
      <c r="N30" s="8"/>
    </row>
    <row r="31" spans="1:22">
      <c r="J31" s="3"/>
      <c r="N31" s="8"/>
    </row>
    <row r="33" spans="10:13">
      <c r="J33" s="8"/>
    </row>
    <row r="37" spans="10:13">
      <c r="J37" s="8"/>
      <c r="M37" s="8"/>
    </row>
  </sheetData>
  <phoneticPr fontId="6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F3DA-BB31-47DF-B71F-249882046E4D}">
  <sheetPr>
    <tabColor rgb="FFFFC000"/>
  </sheetPr>
  <dimension ref="A20:X76"/>
  <sheetViews>
    <sheetView topLeftCell="B12" zoomScale="70" zoomScaleNormal="70" workbookViewId="0">
      <selection activeCell="K20" sqref="K20"/>
    </sheetView>
  </sheetViews>
  <sheetFormatPr defaultRowHeight="18"/>
  <cols>
    <col min="2" max="2" width="24.5" bestFit="1" customWidth="1"/>
    <col min="3" max="3" width="9.125" bestFit="1" customWidth="1"/>
    <col min="4" max="10" width="10.5" bestFit="1" customWidth="1"/>
    <col min="11" max="11" width="10.625" customWidth="1"/>
    <col min="12" max="15" width="10.5" bestFit="1" customWidth="1"/>
    <col min="16" max="16" width="20.125" customWidth="1"/>
    <col min="17" max="18" width="10.5" bestFit="1" customWidth="1"/>
    <col min="19" max="19" width="12.25" bestFit="1" customWidth="1"/>
    <col min="20" max="20" width="11.875" bestFit="1" customWidth="1"/>
    <col min="22" max="22" width="11.875" bestFit="1" customWidth="1"/>
    <col min="23" max="23" width="12.25" bestFit="1" customWidth="1"/>
    <col min="24" max="24" width="10.875" customWidth="1"/>
  </cols>
  <sheetData>
    <row r="20" spans="1:19">
      <c r="D20" t="s">
        <v>147</v>
      </c>
      <c r="G20" t="s">
        <v>123</v>
      </c>
      <c r="K20" t="s">
        <v>124</v>
      </c>
    </row>
    <row r="21" spans="1:19">
      <c r="D21" t="s">
        <v>246</v>
      </c>
      <c r="E21" t="s">
        <v>153</v>
      </c>
      <c r="G21" t="s">
        <v>246</v>
      </c>
      <c r="H21" t="s">
        <v>153</v>
      </c>
      <c r="K21" t="s">
        <v>246</v>
      </c>
      <c r="L21" t="s">
        <v>153</v>
      </c>
    </row>
    <row r="22" spans="1:19">
      <c r="D22" s="2">
        <v>6188</v>
      </c>
      <c r="E22">
        <v>40</v>
      </c>
      <c r="G22" s="2">
        <v>7357</v>
      </c>
      <c r="H22">
        <v>50</v>
      </c>
      <c r="K22" s="1">
        <v>7726</v>
      </c>
      <c r="L22">
        <v>50</v>
      </c>
    </row>
    <row r="23" spans="1:19">
      <c r="E23" t="s">
        <v>126</v>
      </c>
      <c r="F23" s="2">
        <f>D22*E22</f>
        <v>247520</v>
      </c>
      <c r="H23" t="s">
        <v>126</v>
      </c>
      <c r="I23" s="11">
        <f>G22*H22</f>
        <v>367850</v>
      </c>
      <c r="J23" s="11">
        <v>370000</v>
      </c>
      <c r="L23" t="s">
        <v>126</v>
      </c>
      <c r="M23" s="26">
        <f>K22*L22</f>
        <v>386300</v>
      </c>
    </row>
    <row r="24" spans="1:19">
      <c r="F24">
        <f>F23*12</f>
        <v>2970240</v>
      </c>
      <c r="H24" t="s">
        <v>156</v>
      </c>
      <c r="I24" s="11">
        <f>I23*12</f>
        <v>4414200</v>
      </c>
      <c r="J24" s="11">
        <f>J23*12</f>
        <v>4440000</v>
      </c>
      <c r="L24" t="s">
        <v>156</v>
      </c>
      <c r="M24" s="26">
        <f>M23*12</f>
        <v>4635600</v>
      </c>
    </row>
    <row r="25" spans="1:19">
      <c r="A25" t="s">
        <v>124</v>
      </c>
      <c r="M25" t="s">
        <v>554</v>
      </c>
    </row>
    <row r="26" spans="1:19">
      <c r="A26" t="s">
        <v>787</v>
      </c>
      <c r="C26" t="s">
        <v>127</v>
      </c>
      <c r="D26" t="s">
        <v>159</v>
      </c>
      <c r="E26" t="s">
        <v>129</v>
      </c>
      <c r="F26" t="s">
        <v>130</v>
      </c>
      <c r="G26" t="s">
        <v>131</v>
      </c>
      <c r="H26" t="s">
        <v>132</v>
      </c>
      <c r="I26" t="s">
        <v>133</v>
      </c>
      <c r="J26" t="s">
        <v>134</v>
      </c>
      <c r="K26" t="s">
        <v>135</v>
      </c>
      <c r="L26" t="s">
        <v>136</v>
      </c>
      <c r="M26" t="s">
        <v>137</v>
      </c>
      <c r="N26" t="s">
        <v>138</v>
      </c>
      <c r="R26" t="s">
        <v>788</v>
      </c>
      <c r="S26" t="s">
        <v>789</v>
      </c>
    </row>
    <row r="27" spans="1:19">
      <c r="B27" t="s">
        <v>140</v>
      </c>
      <c r="C27" s="26">
        <f>$K$22*C$28</f>
        <v>309040</v>
      </c>
      <c r="D27" s="26">
        <f t="shared" ref="D27:N27" si="0">$K$22*D$28</f>
        <v>347670</v>
      </c>
      <c r="E27" s="26">
        <f t="shared" si="0"/>
        <v>347670</v>
      </c>
      <c r="F27" s="26">
        <f t="shared" si="0"/>
        <v>347670</v>
      </c>
      <c r="G27" s="26">
        <f t="shared" si="0"/>
        <v>347670</v>
      </c>
      <c r="H27" s="26">
        <f t="shared" si="0"/>
        <v>347670</v>
      </c>
      <c r="I27" s="26">
        <f t="shared" si="0"/>
        <v>347670</v>
      </c>
      <c r="J27" s="26">
        <f t="shared" si="0"/>
        <v>347670</v>
      </c>
      <c r="K27" s="26">
        <f t="shared" si="0"/>
        <v>386300</v>
      </c>
      <c r="L27" s="26">
        <f t="shared" si="0"/>
        <v>386300</v>
      </c>
      <c r="M27" s="26">
        <f t="shared" si="0"/>
        <v>386300</v>
      </c>
      <c r="N27" s="26">
        <f t="shared" si="0"/>
        <v>386300</v>
      </c>
      <c r="O27" s="263">
        <f>SUM(C27:N27)</f>
        <v>4287930</v>
      </c>
      <c r="P27" t="s">
        <v>781</v>
      </c>
      <c r="Q27" s="263">
        <f>O27-O32</f>
        <v>-152070</v>
      </c>
      <c r="R27">
        <f>400*40</f>
        <v>16000</v>
      </c>
      <c r="S27">
        <f>R27*12</f>
        <v>192000</v>
      </c>
    </row>
    <row r="28" spans="1:19">
      <c r="B28" t="s">
        <v>298</v>
      </c>
      <c r="C28" s="11">
        <v>40</v>
      </c>
      <c r="D28" s="369">
        <v>45</v>
      </c>
      <c r="E28" s="11">
        <v>45</v>
      </c>
      <c r="F28" s="11">
        <v>45</v>
      </c>
      <c r="G28" s="11">
        <v>45</v>
      </c>
      <c r="H28" s="11">
        <v>45</v>
      </c>
      <c r="I28" s="11">
        <v>45</v>
      </c>
      <c r="J28" s="11">
        <v>45</v>
      </c>
      <c r="K28" s="369">
        <v>50</v>
      </c>
      <c r="L28" s="11">
        <v>50</v>
      </c>
      <c r="M28" s="11">
        <v>50</v>
      </c>
      <c r="N28" s="11">
        <v>50</v>
      </c>
      <c r="O28" s="3"/>
      <c r="Q28" s="263"/>
    </row>
    <row r="29" spans="1:19">
      <c r="B29" t="s">
        <v>141</v>
      </c>
      <c r="P29" t="s">
        <v>782</v>
      </c>
      <c r="Q29" s="263">
        <f>O27-O33</f>
        <v>533010</v>
      </c>
    </row>
    <row r="30" spans="1:19">
      <c r="A30" t="s">
        <v>123</v>
      </c>
      <c r="M30" t="s">
        <v>554</v>
      </c>
    </row>
    <row r="31" spans="1:19">
      <c r="A31" t="s">
        <v>787</v>
      </c>
      <c r="C31" t="s">
        <v>127</v>
      </c>
      <c r="D31" t="s">
        <v>159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137</v>
      </c>
      <c r="N31" t="s">
        <v>138</v>
      </c>
    </row>
    <row r="32" spans="1:19">
      <c r="B32" t="s">
        <v>140</v>
      </c>
      <c r="C32" s="11">
        <v>370000</v>
      </c>
      <c r="D32" s="11">
        <v>370000</v>
      </c>
      <c r="E32" s="11">
        <v>370000</v>
      </c>
      <c r="F32" s="11">
        <v>370000</v>
      </c>
      <c r="G32" s="11">
        <v>370000</v>
      </c>
      <c r="H32" s="11">
        <v>370000</v>
      </c>
      <c r="I32" s="11">
        <v>370000</v>
      </c>
      <c r="J32" s="11">
        <v>370000</v>
      </c>
      <c r="K32" s="11">
        <v>370000</v>
      </c>
      <c r="L32" s="11">
        <v>370000</v>
      </c>
      <c r="M32" s="11">
        <v>370000</v>
      </c>
      <c r="N32" s="11">
        <v>370000</v>
      </c>
      <c r="O32" s="3">
        <f>SUM(C32:N32)</f>
        <v>4440000</v>
      </c>
    </row>
    <row r="33" spans="1:24">
      <c r="B33" t="s">
        <v>141</v>
      </c>
      <c r="C33" s="11">
        <v>294280</v>
      </c>
      <c r="D33" s="11">
        <v>292480</v>
      </c>
      <c r="E33" s="11">
        <v>292480</v>
      </c>
      <c r="F33" s="11">
        <v>294280</v>
      </c>
      <c r="G33" s="11">
        <v>294280</v>
      </c>
      <c r="H33" s="11">
        <v>294280</v>
      </c>
      <c r="I33" s="11">
        <v>294280</v>
      </c>
      <c r="J33" s="11">
        <v>294280</v>
      </c>
      <c r="K33" s="11">
        <v>294280</v>
      </c>
      <c r="L33" s="11">
        <v>370000</v>
      </c>
      <c r="M33" s="11">
        <v>370000</v>
      </c>
      <c r="N33" s="11">
        <v>370000</v>
      </c>
      <c r="O33" s="263">
        <f>SUM(C33:N33)</f>
        <v>3754920</v>
      </c>
    </row>
    <row r="37" spans="1:24">
      <c r="P37" s="4" t="s">
        <v>446</v>
      </c>
      <c r="R37" s="4" t="s">
        <v>140</v>
      </c>
      <c r="S37" s="4" t="s">
        <v>447</v>
      </c>
      <c r="T37" t="s">
        <v>448</v>
      </c>
      <c r="U37" t="s">
        <v>449</v>
      </c>
    </row>
    <row r="38" spans="1:24">
      <c r="A38">
        <v>2023</v>
      </c>
      <c r="D38">
        <v>1</v>
      </c>
      <c r="E38">
        <v>2</v>
      </c>
      <c r="F38">
        <v>3</v>
      </c>
      <c r="G38">
        <v>4</v>
      </c>
      <c r="H38">
        <v>5</v>
      </c>
      <c r="I38">
        <v>6</v>
      </c>
      <c r="J38">
        <v>7</v>
      </c>
      <c r="K38">
        <v>8</v>
      </c>
      <c r="L38">
        <v>9</v>
      </c>
      <c r="M38">
        <v>10</v>
      </c>
      <c r="N38">
        <v>11</v>
      </c>
      <c r="O38">
        <v>12</v>
      </c>
    </row>
    <row r="39" spans="1:24">
      <c r="D39">
        <v>40</v>
      </c>
      <c r="E39">
        <v>40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40</v>
      </c>
      <c r="L39">
        <v>40</v>
      </c>
      <c r="M39">
        <v>40</v>
      </c>
      <c r="N39">
        <v>40</v>
      </c>
      <c r="O39">
        <v>40</v>
      </c>
    </row>
    <row r="40" spans="1:24">
      <c r="B40" t="s">
        <v>790</v>
      </c>
      <c r="C40" s="2">
        <v>897</v>
      </c>
      <c r="D40" s="2"/>
      <c r="E40" s="2"/>
      <c r="F40" s="2"/>
      <c r="G40" s="2">
        <f t="shared" ref="G40:O40" si="1">$C$40*G$39</f>
        <v>35880</v>
      </c>
      <c r="H40" s="2">
        <f t="shared" si="1"/>
        <v>35880</v>
      </c>
      <c r="I40" s="2">
        <f t="shared" si="1"/>
        <v>35880</v>
      </c>
      <c r="J40" s="2">
        <f t="shared" si="1"/>
        <v>35880</v>
      </c>
      <c r="K40" s="2">
        <f t="shared" si="1"/>
        <v>35880</v>
      </c>
      <c r="L40" s="2">
        <f t="shared" si="1"/>
        <v>35880</v>
      </c>
      <c r="M40" s="2">
        <f t="shared" si="1"/>
        <v>35880</v>
      </c>
      <c r="N40" s="2">
        <f t="shared" si="1"/>
        <v>35880</v>
      </c>
      <c r="O40" s="2">
        <f t="shared" si="1"/>
        <v>35880</v>
      </c>
      <c r="P40" s="3"/>
    </row>
    <row r="41" spans="1:24">
      <c r="B41" t="s">
        <v>791</v>
      </c>
      <c r="C41" s="2">
        <v>456</v>
      </c>
      <c r="D41" s="2"/>
      <c r="E41" s="2"/>
      <c r="F41" s="2"/>
      <c r="G41" s="2">
        <f t="shared" ref="G41:O41" si="2">$C$41*G$39</f>
        <v>18240</v>
      </c>
      <c r="H41" s="2">
        <f t="shared" si="2"/>
        <v>18240</v>
      </c>
      <c r="I41" s="2">
        <f t="shared" si="2"/>
        <v>18240</v>
      </c>
      <c r="J41" s="2">
        <f t="shared" si="2"/>
        <v>18240</v>
      </c>
      <c r="K41" s="2">
        <f t="shared" si="2"/>
        <v>18240</v>
      </c>
      <c r="L41" s="2">
        <f t="shared" si="2"/>
        <v>18240</v>
      </c>
      <c r="M41" s="2">
        <f t="shared" si="2"/>
        <v>18240</v>
      </c>
      <c r="N41" s="2">
        <f t="shared" si="2"/>
        <v>18240</v>
      </c>
      <c r="O41" s="2">
        <f t="shared" si="2"/>
        <v>18240</v>
      </c>
      <c r="P41" s="3"/>
    </row>
    <row r="42" spans="1:24">
      <c r="C42" s="2" t="s">
        <v>126</v>
      </c>
      <c r="D42" s="2">
        <v>28766</v>
      </c>
      <c r="E42" s="2">
        <v>39200</v>
      </c>
      <c r="F42" s="2">
        <v>39200</v>
      </c>
      <c r="G42" s="2">
        <f t="shared" ref="G42:O42" si="3">G$40+G$41</f>
        <v>54120</v>
      </c>
      <c r="H42" s="2">
        <f t="shared" si="3"/>
        <v>54120</v>
      </c>
      <c r="I42" s="2">
        <f t="shared" si="3"/>
        <v>54120</v>
      </c>
      <c r="J42" s="2">
        <f t="shared" si="3"/>
        <v>54120</v>
      </c>
      <c r="K42" s="2">
        <f t="shared" si="3"/>
        <v>54120</v>
      </c>
      <c r="L42" s="2">
        <f t="shared" si="3"/>
        <v>54120</v>
      </c>
      <c r="M42" s="2">
        <f t="shared" si="3"/>
        <v>54120</v>
      </c>
      <c r="N42" s="2">
        <f t="shared" si="3"/>
        <v>54120</v>
      </c>
      <c r="O42" s="2">
        <f t="shared" si="3"/>
        <v>54120</v>
      </c>
      <c r="P42" s="3">
        <f>SUM(D42:O42)</f>
        <v>594246</v>
      </c>
    </row>
    <row r="43" spans="1:24">
      <c r="C43" s="2"/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40</v>
      </c>
      <c r="P43" s="3"/>
      <c r="V43">
        <v>505</v>
      </c>
    </row>
    <row r="44" spans="1:24">
      <c r="B44" t="s">
        <v>792</v>
      </c>
      <c r="C44" s="2">
        <v>6188</v>
      </c>
      <c r="D44" s="2">
        <f t="shared" ref="D44:E44" si="4">D$43*$C$44</f>
        <v>0</v>
      </c>
      <c r="E44" s="2">
        <f t="shared" si="4"/>
        <v>0</v>
      </c>
      <c r="F44" s="2">
        <f>F$43*$C$44</f>
        <v>0</v>
      </c>
      <c r="G44" s="2">
        <f t="shared" ref="G44:O44" si="5">G$43*$C$44</f>
        <v>0</v>
      </c>
      <c r="H44" s="2">
        <f t="shared" si="5"/>
        <v>0</v>
      </c>
      <c r="I44" s="2">
        <f t="shared" si="5"/>
        <v>0</v>
      </c>
      <c r="J44" s="2">
        <f t="shared" si="5"/>
        <v>0</v>
      </c>
      <c r="K44" s="2">
        <f t="shared" si="5"/>
        <v>0</v>
      </c>
      <c r="L44" s="2">
        <f t="shared" si="5"/>
        <v>0</v>
      </c>
      <c r="M44" s="2">
        <f t="shared" si="5"/>
        <v>0</v>
      </c>
      <c r="N44" s="2">
        <f t="shared" si="5"/>
        <v>0</v>
      </c>
      <c r="O44" s="2">
        <f t="shared" si="5"/>
        <v>247520</v>
      </c>
      <c r="P44" s="3">
        <f>SUM(D44:O44)</f>
        <v>247520</v>
      </c>
      <c r="V44">
        <v>3886.9999999999995</v>
      </c>
      <c r="W44" s="8">
        <f>V43*V44*12</f>
        <v>23555219.999999996</v>
      </c>
      <c r="X44" s="8">
        <f>W44+V53</f>
        <v>38549220</v>
      </c>
    </row>
    <row r="45" spans="1:24">
      <c r="P45" s="6">
        <f>SUM(P40:P44)</f>
        <v>841766</v>
      </c>
      <c r="R45" s="5">
        <v>20888400</v>
      </c>
      <c r="S45" s="3">
        <f>P45-R45</f>
        <v>-20046634</v>
      </c>
    </row>
    <row r="46" spans="1:24">
      <c r="P46" s="3"/>
      <c r="R46" s="11"/>
      <c r="S46" s="3"/>
    </row>
    <row r="47" spans="1:24">
      <c r="A47">
        <v>2024</v>
      </c>
      <c r="D47" s="2" t="s">
        <v>127</v>
      </c>
      <c r="E47" s="2" t="s">
        <v>128</v>
      </c>
      <c r="F47" s="2" t="s">
        <v>129</v>
      </c>
      <c r="G47" s="2" t="s">
        <v>130</v>
      </c>
      <c r="H47" s="2" t="s">
        <v>131</v>
      </c>
      <c r="I47" s="2" t="s">
        <v>132</v>
      </c>
      <c r="J47" s="2" t="s">
        <v>133</v>
      </c>
      <c r="K47" s="2" t="s">
        <v>134</v>
      </c>
      <c r="L47" s="2" t="s">
        <v>135</v>
      </c>
      <c r="M47" s="2" t="s">
        <v>136</v>
      </c>
      <c r="N47" s="2" t="s">
        <v>137</v>
      </c>
      <c r="O47" s="2" t="s">
        <v>138</v>
      </c>
      <c r="P47" s="3"/>
      <c r="R47" s="11"/>
      <c r="S47" s="3"/>
    </row>
    <row r="48" spans="1:24">
      <c r="B48" t="s">
        <v>153</v>
      </c>
      <c r="D48" s="2">
        <v>40</v>
      </c>
      <c r="E48" s="2">
        <v>40</v>
      </c>
      <c r="F48" s="2">
        <v>40</v>
      </c>
      <c r="G48" s="2">
        <v>40</v>
      </c>
      <c r="H48" s="2">
        <v>40</v>
      </c>
      <c r="I48" s="2">
        <v>40</v>
      </c>
      <c r="J48" s="2">
        <v>40</v>
      </c>
      <c r="K48" s="2">
        <v>40</v>
      </c>
      <c r="L48" s="2">
        <v>40</v>
      </c>
      <c r="M48" s="2">
        <v>40</v>
      </c>
      <c r="N48" s="2">
        <v>40</v>
      </c>
      <c r="O48" s="2">
        <v>40</v>
      </c>
      <c r="P48" s="3"/>
      <c r="R48" s="11"/>
      <c r="S48" s="3"/>
    </row>
    <row r="49" spans="1:24">
      <c r="B49" t="s">
        <v>792</v>
      </c>
      <c r="D49" s="2">
        <v>217000</v>
      </c>
      <c r="E49" s="2">
        <v>217000</v>
      </c>
      <c r="F49" s="2">
        <v>217000</v>
      </c>
      <c r="G49" s="2">
        <v>217000</v>
      </c>
      <c r="H49" s="2">
        <v>217000</v>
      </c>
      <c r="I49" s="2">
        <v>217000</v>
      </c>
      <c r="J49" s="2">
        <v>217000</v>
      </c>
      <c r="K49" s="2">
        <v>217000</v>
      </c>
      <c r="L49" s="2">
        <v>217000</v>
      </c>
      <c r="M49" s="2">
        <v>217000</v>
      </c>
      <c r="N49" s="2">
        <v>217000</v>
      </c>
      <c r="O49" s="2">
        <v>217000</v>
      </c>
      <c r="P49" s="180">
        <f>SUM(D49:O49)</f>
        <v>2604000</v>
      </c>
      <c r="Q49" t="s">
        <v>793</v>
      </c>
      <c r="R49" s="11"/>
      <c r="S49" s="3"/>
    </row>
    <row r="50" spans="1:24">
      <c r="P50" s="3"/>
      <c r="R50" s="11"/>
      <c r="S50" s="3"/>
    </row>
    <row r="51" spans="1:24" hidden="1">
      <c r="A51">
        <v>2024</v>
      </c>
      <c r="C51" s="2"/>
      <c r="D51" s="2" t="s">
        <v>127</v>
      </c>
      <c r="E51" s="2" t="s">
        <v>128</v>
      </c>
      <c r="F51" s="2" t="s">
        <v>129</v>
      </c>
      <c r="G51" s="2" t="s">
        <v>130</v>
      </c>
      <c r="H51" s="2" t="s">
        <v>131</v>
      </c>
      <c r="I51" s="2" t="s">
        <v>132</v>
      </c>
      <c r="J51" s="2" t="s">
        <v>133</v>
      </c>
      <c r="K51" s="2" t="s">
        <v>134</v>
      </c>
      <c r="L51" s="2" t="s">
        <v>135</v>
      </c>
      <c r="M51" s="2" t="s">
        <v>136</v>
      </c>
      <c r="N51" s="2" t="s">
        <v>137</v>
      </c>
      <c r="O51" s="2" t="s">
        <v>138</v>
      </c>
      <c r="P51" s="11"/>
    </row>
    <row r="52" spans="1:24" hidden="1">
      <c r="B52" t="s">
        <v>153</v>
      </c>
      <c r="C52" s="2"/>
      <c r="D52" s="2">
        <v>40</v>
      </c>
      <c r="E52" s="2">
        <v>40</v>
      </c>
      <c r="F52" s="2">
        <v>40</v>
      </c>
      <c r="G52" s="2">
        <v>45</v>
      </c>
      <c r="H52" s="2">
        <v>45</v>
      </c>
      <c r="I52" s="2">
        <v>45</v>
      </c>
      <c r="J52" s="2">
        <v>45</v>
      </c>
      <c r="K52" s="2">
        <v>45</v>
      </c>
      <c r="L52" s="2">
        <v>45</v>
      </c>
      <c r="M52" s="2">
        <v>45</v>
      </c>
      <c r="N52" s="2">
        <v>45</v>
      </c>
      <c r="O52" s="2">
        <v>45</v>
      </c>
      <c r="P52" s="2"/>
    </row>
    <row r="53" spans="1:24" hidden="1">
      <c r="B53" t="s">
        <v>792</v>
      </c>
      <c r="C53" s="2">
        <v>6188</v>
      </c>
      <c r="D53" s="2">
        <f>$C$53*D$52</f>
        <v>247520</v>
      </c>
      <c r="E53" s="2">
        <f t="shared" ref="E53:O53" si="6">$C$53*E$52</f>
        <v>247520</v>
      </c>
      <c r="F53" s="2">
        <f t="shared" si="6"/>
        <v>247520</v>
      </c>
      <c r="G53" s="2">
        <f t="shared" si="6"/>
        <v>278460</v>
      </c>
      <c r="H53" s="2">
        <f t="shared" si="6"/>
        <v>278460</v>
      </c>
      <c r="I53" s="2">
        <f t="shared" si="6"/>
        <v>278460</v>
      </c>
      <c r="J53" s="2">
        <f t="shared" si="6"/>
        <v>278460</v>
      </c>
      <c r="K53" s="2">
        <f t="shared" si="6"/>
        <v>278460</v>
      </c>
      <c r="L53" s="2">
        <f t="shared" si="6"/>
        <v>278460</v>
      </c>
      <c r="M53" s="2">
        <f t="shared" si="6"/>
        <v>278460</v>
      </c>
      <c r="N53" s="2">
        <f t="shared" si="6"/>
        <v>278460</v>
      </c>
      <c r="O53" s="2">
        <f t="shared" si="6"/>
        <v>278460</v>
      </c>
      <c r="P53" s="2">
        <f>SUM(D53:O53)</f>
        <v>3248700</v>
      </c>
      <c r="T53" s="9">
        <v>13794000</v>
      </c>
      <c r="U53">
        <v>1200000</v>
      </c>
      <c r="V53" s="1">
        <f>SUM(T53:U53)</f>
        <v>14994000</v>
      </c>
      <c r="W53" s="3">
        <f>P54-V53</f>
        <v>-11745300</v>
      </c>
    </row>
    <row r="54" spans="1:24" hidden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6">
        <f>SUM(P53:P53)</f>
        <v>3248700</v>
      </c>
      <c r="Q54" t="s">
        <v>794</v>
      </c>
      <c r="V54" s="9"/>
    </row>
    <row r="55" spans="1:24" hidden="1">
      <c r="O55" s="34" t="s">
        <v>164</v>
      </c>
      <c r="P55" s="6">
        <f>P54-P49</f>
        <v>644700</v>
      </c>
      <c r="Q55" t="s">
        <v>795</v>
      </c>
    </row>
    <row r="56" spans="1:24" hidden="1"/>
    <row r="58" spans="1:24">
      <c r="A58" t="s">
        <v>460</v>
      </c>
    </row>
    <row r="59" spans="1:24">
      <c r="P59" s="1"/>
    </row>
    <row r="60" spans="1:24">
      <c r="U60">
        <v>5380</v>
      </c>
      <c r="V60">
        <v>500</v>
      </c>
      <c r="W60" s="8">
        <f>V60*U60</f>
        <v>2690000</v>
      </c>
    </row>
    <row r="61" spans="1:24">
      <c r="U61">
        <v>6188</v>
      </c>
      <c r="V61">
        <v>500</v>
      </c>
      <c r="W61" s="8">
        <f>V61*U61</f>
        <v>3094000</v>
      </c>
    </row>
    <row r="62" spans="1:24">
      <c r="A62" t="s">
        <v>461</v>
      </c>
      <c r="D62">
        <v>1</v>
      </c>
      <c r="E62">
        <v>2</v>
      </c>
      <c r="F62">
        <v>3</v>
      </c>
      <c r="G62">
        <v>4</v>
      </c>
      <c r="H62">
        <v>5</v>
      </c>
      <c r="I62">
        <v>6</v>
      </c>
      <c r="J62">
        <v>7</v>
      </c>
      <c r="K62">
        <v>8</v>
      </c>
      <c r="L62">
        <v>9</v>
      </c>
      <c r="M62">
        <v>10</v>
      </c>
      <c r="N62">
        <v>11</v>
      </c>
      <c r="O62">
        <v>12</v>
      </c>
      <c r="W62" s="8">
        <f>W61-W60</f>
        <v>404000</v>
      </c>
      <c r="X62" s="8">
        <f>W62*3</f>
        <v>1212000</v>
      </c>
    </row>
    <row r="63" spans="1:24">
      <c r="D63">
        <v>515</v>
      </c>
      <c r="E63">
        <v>515</v>
      </c>
      <c r="F63">
        <v>515</v>
      </c>
      <c r="G63">
        <v>515</v>
      </c>
      <c r="H63">
        <v>515</v>
      </c>
      <c r="I63">
        <v>515</v>
      </c>
      <c r="J63">
        <v>515</v>
      </c>
      <c r="K63">
        <v>515</v>
      </c>
      <c r="L63">
        <v>515</v>
      </c>
      <c r="M63">
        <v>515</v>
      </c>
      <c r="N63">
        <v>515</v>
      </c>
      <c r="O63">
        <v>515</v>
      </c>
    </row>
    <row r="64" spans="1:24">
      <c r="C64" t="s">
        <v>462</v>
      </c>
      <c r="D64" s="8">
        <f t="shared" ref="D64:O64" si="7">3380*D63</f>
        <v>1740700</v>
      </c>
      <c r="E64" s="8">
        <f t="shared" si="7"/>
        <v>1740700</v>
      </c>
      <c r="F64" s="8">
        <f t="shared" si="7"/>
        <v>1740700</v>
      </c>
      <c r="G64" s="8">
        <f t="shared" si="7"/>
        <v>1740700</v>
      </c>
      <c r="H64" s="8">
        <f t="shared" si="7"/>
        <v>1740700</v>
      </c>
      <c r="I64" s="8">
        <f t="shared" si="7"/>
        <v>1740700</v>
      </c>
      <c r="J64" s="8">
        <f t="shared" si="7"/>
        <v>1740700</v>
      </c>
      <c r="K64" s="8">
        <f t="shared" si="7"/>
        <v>1740700</v>
      </c>
      <c r="L64" s="8">
        <f t="shared" si="7"/>
        <v>1740700</v>
      </c>
      <c r="M64" s="8">
        <f t="shared" si="7"/>
        <v>1740700</v>
      </c>
      <c r="N64" s="8">
        <f t="shared" si="7"/>
        <v>1740700</v>
      </c>
      <c r="O64" s="8">
        <f t="shared" si="7"/>
        <v>1740700</v>
      </c>
      <c r="P64" s="8">
        <f>SUM(D64:O64)</f>
        <v>20888400</v>
      </c>
    </row>
    <row r="65" spans="3:19">
      <c r="D65" s="3">
        <f t="shared" ref="D65:O65" si="8">D43+D39</f>
        <v>40</v>
      </c>
      <c r="E65" s="3">
        <f t="shared" si="8"/>
        <v>40</v>
      </c>
      <c r="F65" s="3">
        <f t="shared" si="8"/>
        <v>40</v>
      </c>
      <c r="G65" s="3">
        <f t="shared" si="8"/>
        <v>40</v>
      </c>
      <c r="H65" s="3">
        <f t="shared" si="8"/>
        <v>40</v>
      </c>
      <c r="I65" s="3">
        <f t="shared" si="8"/>
        <v>40</v>
      </c>
      <c r="J65" s="3">
        <f t="shared" si="8"/>
        <v>40</v>
      </c>
      <c r="K65" s="3">
        <f t="shared" si="8"/>
        <v>40</v>
      </c>
      <c r="L65" s="3">
        <f t="shared" si="8"/>
        <v>40</v>
      </c>
      <c r="M65" s="3">
        <f t="shared" si="8"/>
        <v>40</v>
      </c>
      <c r="N65" s="3">
        <f t="shared" si="8"/>
        <v>40</v>
      </c>
      <c r="O65" s="3">
        <f t="shared" si="8"/>
        <v>80</v>
      </c>
    </row>
    <row r="66" spans="3:19">
      <c r="C66" t="s">
        <v>446</v>
      </c>
      <c r="D66" s="8">
        <f>3380*D65</f>
        <v>135200</v>
      </c>
      <c r="E66" s="8">
        <f t="shared" ref="E66" si="9">3380*E65</f>
        <v>135200</v>
      </c>
      <c r="F66" s="8">
        <f t="shared" ref="F66:O66" si="10">F40+F44</f>
        <v>0</v>
      </c>
      <c r="G66" s="8">
        <f t="shared" si="10"/>
        <v>35880</v>
      </c>
      <c r="H66" s="8">
        <f t="shared" si="10"/>
        <v>35880</v>
      </c>
      <c r="I66" s="8">
        <f t="shared" si="10"/>
        <v>35880</v>
      </c>
      <c r="J66" s="8">
        <f t="shared" si="10"/>
        <v>35880</v>
      </c>
      <c r="K66" s="8">
        <f t="shared" si="10"/>
        <v>35880</v>
      </c>
      <c r="L66" s="8">
        <f t="shared" si="10"/>
        <v>35880</v>
      </c>
      <c r="M66" s="8">
        <f t="shared" si="10"/>
        <v>35880</v>
      </c>
      <c r="N66" s="8">
        <f t="shared" si="10"/>
        <v>35880</v>
      </c>
      <c r="O66" s="8">
        <f t="shared" si="10"/>
        <v>283400</v>
      </c>
      <c r="P66" s="8">
        <f>SUM(D66:O66)</f>
        <v>840840</v>
      </c>
      <c r="S66" s="8">
        <f>P64+L69</f>
        <v>20888400</v>
      </c>
    </row>
    <row r="67" spans="3:19">
      <c r="O67" s="8"/>
    </row>
    <row r="68" spans="3:19">
      <c r="L68" t="s">
        <v>463</v>
      </c>
      <c r="O68" t="s">
        <v>464</v>
      </c>
      <c r="P68" s="8">
        <f>P66-P64</f>
        <v>-20047560</v>
      </c>
    </row>
    <row r="69" spans="3:19">
      <c r="L69" s="8">
        <f>P59/5</f>
        <v>0</v>
      </c>
      <c r="N69" t="s">
        <v>465</v>
      </c>
      <c r="P69" s="8">
        <f>P68-L69</f>
        <v>-20047560</v>
      </c>
    </row>
    <row r="70" spans="3:19">
      <c r="L70" s="3"/>
      <c r="P70" s="8"/>
    </row>
    <row r="72" spans="3:19">
      <c r="L72" s="8"/>
    </row>
    <row r="76" spans="3:19">
      <c r="L76" s="8"/>
      <c r="O76" s="8"/>
    </row>
  </sheetData>
  <phoneticPr fontId="6"/>
  <pageMargins left="0.7" right="0.7" top="0.75" bottom="0.75" header="0.3" footer="0.3"/>
  <drawing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6B55-7C96-41C5-A9EF-206047789365}">
  <sheetPr codeName="Sheet22">
    <tabColor rgb="FFFFC000"/>
  </sheetPr>
  <dimension ref="A20:X56"/>
  <sheetViews>
    <sheetView topLeftCell="C10" zoomScale="70" zoomScaleNormal="70" workbookViewId="0">
      <selection activeCell="K20" sqref="K20"/>
    </sheetView>
  </sheetViews>
  <sheetFormatPr defaultRowHeight="18"/>
  <cols>
    <col min="2" max="2" width="24.5" bestFit="1" customWidth="1"/>
    <col min="3" max="3" width="9.125" bestFit="1" customWidth="1"/>
    <col min="4" max="10" width="10.5" bestFit="1" customWidth="1"/>
    <col min="11" max="11" width="10.625" customWidth="1"/>
    <col min="12" max="15" width="10.5" bestFit="1" customWidth="1"/>
    <col min="16" max="16" width="14.375" customWidth="1"/>
    <col min="17" max="18" width="10.5" bestFit="1" customWidth="1"/>
    <col min="19" max="19" width="12.25" bestFit="1" customWidth="1"/>
    <col min="20" max="20" width="11.875" bestFit="1" customWidth="1"/>
    <col min="22" max="22" width="11.875" bestFit="1" customWidth="1"/>
    <col min="23" max="23" width="12.25" bestFit="1" customWidth="1"/>
    <col min="24" max="24" width="10.875" customWidth="1"/>
  </cols>
  <sheetData>
    <row r="20" spans="1:19">
      <c r="D20" t="s">
        <v>147</v>
      </c>
      <c r="G20" t="s">
        <v>123</v>
      </c>
    </row>
    <row r="21" spans="1:19">
      <c r="D21" t="s">
        <v>246</v>
      </c>
      <c r="E21" t="s">
        <v>153</v>
      </c>
      <c r="G21" t="s">
        <v>246</v>
      </c>
      <c r="H21" t="s">
        <v>153</v>
      </c>
    </row>
    <row r="22" spans="1:19">
      <c r="B22" t="s">
        <v>796</v>
      </c>
      <c r="D22" s="2">
        <v>748</v>
      </c>
      <c r="E22">
        <v>10</v>
      </c>
      <c r="G22" s="2">
        <v>748</v>
      </c>
      <c r="H22">
        <v>10</v>
      </c>
    </row>
    <row r="23" spans="1:19">
      <c r="B23" t="s">
        <v>797</v>
      </c>
      <c r="D23" s="2">
        <v>380</v>
      </c>
      <c r="E23">
        <v>10</v>
      </c>
      <c r="G23" s="2">
        <v>380</v>
      </c>
      <c r="H23">
        <v>10</v>
      </c>
    </row>
    <row r="24" spans="1:19">
      <c r="E24" t="s">
        <v>126</v>
      </c>
      <c r="F24" s="2">
        <f>D22*E22+D23*E23</f>
        <v>11280</v>
      </c>
      <c r="H24" t="s">
        <v>126</v>
      </c>
      <c r="I24" s="124">
        <f>G22*H22+G23*H23</f>
        <v>11280</v>
      </c>
      <c r="J24" s="11"/>
    </row>
    <row r="25" spans="1:19">
      <c r="F25">
        <f>F24*12</f>
        <v>135360</v>
      </c>
      <c r="H25" t="s">
        <v>156</v>
      </c>
      <c r="I25" s="124">
        <f>I24*12</f>
        <v>135360</v>
      </c>
      <c r="J25" s="11"/>
    </row>
    <row r="26" spans="1:19">
      <c r="A26" t="s">
        <v>123</v>
      </c>
    </row>
    <row r="27" spans="1:19">
      <c r="A27" t="s">
        <v>798</v>
      </c>
      <c r="C27" t="s">
        <v>127</v>
      </c>
      <c r="D27" t="s">
        <v>159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  <c r="J27" t="s">
        <v>134</v>
      </c>
      <c r="K27" t="s">
        <v>135</v>
      </c>
      <c r="L27" t="s">
        <v>136</v>
      </c>
      <c r="M27" t="s">
        <v>137</v>
      </c>
      <c r="N27" t="s">
        <v>138</v>
      </c>
    </row>
    <row r="28" spans="1:19">
      <c r="C28" s="124">
        <f>$I$24</f>
        <v>11280</v>
      </c>
      <c r="D28" s="124">
        <f t="shared" ref="D28:N28" si="0">$I$24</f>
        <v>11280</v>
      </c>
      <c r="E28" s="124">
        <f t="shared" si="0"/>
        <v>11280</v>
      </c>
      <c r="F28" s="124">
        <f t="shared" si="0"/>
        <v>11280</v>
      </c>
      <c r="G28" s="124">
        <f t="shared" si="0"/>
        <v>11280</v>
      </c>
      <c r="H28" s="124">
        <f t="shared" si="0"/>
        <v>11280</v>
      </c>
      <c r="I28" s="124">
        <f t="shared" si="0"/>
        <v>11280</v>
      </c>
      <c r="J28" s="124">
        <f t="shared" si="0"/>
        <v>11280</v>
      </c>
      <c r="K28" s="124">
        <f t="shared" si="0"/>
        <v>11280</v>
      </c>
      <c r="L28" s="124">
        <f t="shared" si="0"/>
        <v>11280</v>
      </c>
      <c r="M28" s="124">
        <f t="shared" si="0"/>
        <v>11280</v>
      </c>
      <c r="N28" s="124">
        <f t="shared" si="0"/>
        <v>11280</v>
      </c>
      <c r="O28" s="3">
        <f>SUM(C28:N28)</f>
        <v>135360</v>
      </c>
    </row>
    <row r="30" spans="1:19">
      <c r="P30" s="3"/>
      <c r="R30" s="11"/>
      <c r="S30" s="3"/>
    </row>
    <row r="31" spans="1:19" hidden="1">
      <c r="A31">
        <v>2024</v>
      </c>
      <c r="C31" s="2"/>
      <c r="D31" s="2" t="s">
        <v>127</v>
      </c>
      <c r="E31" s="2" t="s">
        <v>128</v>
      </c>
      <c r="F31" s="2" t="s">
        <v>129</v>
      </c>
      <c r="G31" s="2" t="s">
        <v>130</v>
      </c>
      <c r="H31" s="2" t="s">
        <v>131</v>
      </c>
      <c r="I31" s="2" t="s">
        <v>132</v>
      </c>
      <c r="J31" s="2" t="s">
        <v>133</v>
      </c>
      <c r="K31" s="2" t="s">
        <v>134</v>
      </c>
      <c r="L31" s="2" t="s">
        <v>135</v>
      </c>
      <c r="M31" s="2" t="s">
        <v>136</v>
      </c>
      <c r="N31" s="2" t="s">
        <v>137</v>
      </c>
      <c r="O31" s="2" t="s">
        <v>138</v>
      </c>
      <c r="P31" s="11"/>
    </row>
    <row r="32" spans="1:19" hidden="1">
      <c r="B32" t="s">
        <v>153</v>
      </c>
      <c r="C32" s="2"/>
      <c r="D32" s="2">
        <v>40</v>
      </c>
      <c r="E32" s="2">
        <v>40</v>
      </c>
      <c r="F32" s="2">
        <v>40</v>
      </c>
      <c r="G32" s="2">
        <v>45</v>
      </c>
      <c r="H32" s="2">
        <v>45</v>
      </c>
      <c r="I32" s="2">
        <v>45</v>
      </c>
      <c r="J32" s="2">
        <v>45</v>
      </c>
      <c r="K32" s="2">
        <v>45</v>
      </c>
      <c r="L32" s="2">
        <v>45</v>
      </c>
      <c r="M32" s="2">
        <v>45</v>
      </c>
      <c r="N32" s="2">
        <v>45</v>
      </c>
      <c r="O32" s="2">
        <v>45</v>
      </c>
      <c r="P32" s="2"/>
    </row>
    <row r="33" spans="2:24" hidden="1">
      <c r="B33" t="s">
        <v>792</v>
      </c>
      <c r="C33" s="2">
        <v>6188</v>
      </c>
      <c r="D33" s="2">
        <f>$C$33*D$32</f>
        <v>247520</v>
      </c>
      <c r="E33" s="2">
        <f t="shared" ref="E33:F33" si="1">$C$33*E$32</f>
        <v>247520</v>
      </c>
      <c r="F33" s="2">
        <f t="shared" si="1"/>
        <v>247520</v>
      </c>
      <c r="G33" s="2">
        <f t="shared" ref="G33:O33" si="2">$C$33*G$32</f>
        <v>278460</v>
      </c>
      <c r="H33" s="2">
        <f t="shared" si="2"/>
        <v>278460</v>
      </c>
      <c r="I33" s="2">
        <f t="shared" si="2"/>
        <v>278460</v>
      </c>
      <c r="J33" s="2">
        <f t="shared" si="2"/>
        <v>278460</v>
      </c>
      <c r="K33" s="2">
        <f t="shared" si="2"/>
        <v>278460</v>
      </c>
      <c r="L33" s="2">
        <f t="shared" si="2"/>
        <v>278460</v>
      </c>
      <c r="M33" s="2">
        <f t="shared" si="2"/>
        <v>278460</v>
      </c>
      <c r="N33" s="2">
        <f t="shared" si="2"/>
        <v>278460</v>
      </c>
      <c r="O33" s="2">
        <f t="shared" si="2"/>
        <v>278460</v>
      </c>
      <c r="P33" s="2">
        <f>SUM(D33:O33)</f>
        <v>3248700</v>
      </c>
      <c r="T33" s="9">
        <v>13794000</v>
      </c>
      <c r="U33">
        <v>1200000</v>
      </c>
      <c r="V33" s="1">
        <f>SUM(T33:U33)</f>
        <v>14994000</v>
      </c>
      <c r="W33" s="3">
        <f>P34-V33</f>
        <v>-11745300</v>
      </c>
    </row>
    <row r="34" spans="2:24" hidden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6">
        <f>SUM(P33:P33)</f>
        <v>3248700</v>
      </c>
      <c r="Q34" t="s">
        <v>794</v>
      </c>
      <c r="V34" s="9"/>
    </row>
    <row r="35" spans="2:24" hidden="1">
      <c r="O35" s="34" t="s">
        <v>164</v>
      </c>
      <c r="P35" s="6" t="e">
        <f>P34-#REF!</f>
        <v>#REF!</v>
      </c>
      <c r="Q35" t="s">
        <v>795</v>
      </c>
    </row>
    <row r="36" spans="2:24" hidden="1"/>
    <row r="39" spans="2:24">
      <c r="P39" s="1"/>
    </row>
    <row r="40" spans="2:24">
      <c r="U40">
        <v>5380</v>
      </c>
      <c r="V40">
        <v>500</v>
      </c>
      <c r="W40" s="8">
        <f>V40*U40</f>
        <v>2690000</v>
      </c>
    </row>
    <row r="41" spans="2:24">
      <c r="U41">
        <v>6188</v>
      </c>
      <c r="V41">
        <v>500</v>
      </c>
      <c r="W41" s="8">
        <f>V41*U41</f>
        <v>3094000</v>
      </c>
    </row>
    <row r="42" spans="2:24">
      <c r="W42" s="8">
        <f>W41-W40</f>
        <v>404000</v>
      </c>
      <c r="X42" s="8">
        <f>W42*3</f>
        <v>1212000</v>
      </c>
    </row>
    <row r="44" spans="2:2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24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24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S46" s="8"/>
    </row>
    <row r="47" spans="2:24">
      <c r="O47" s="8"/>
    </row>
    <row r="48" spans="2:24">
      <c r="P48" s="8"/>
    </row>
    <row r="49" spans="12:16">
      <c r="L49" s="8"/>
      <c r="P49" s="8"/>
    </row>
    <row r="50" spans="12:16">
      <c r="L50" s="3"/>
      <c r="P50" s="8"/>
    </row>
    <row r="52" spans="12:16">
      <c r="L52" s="8"/>
    </row>
    <row r="56" spans="12:16">
      <c r="L56" s="8"/>
      <c r="O56" s="8"/>
    </row>
  </sheetData>
  <phoneticPr fontId="6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9019-499F-485C-A90C-FA01BD978C62}">
  <sheetPr>
    <tabColor rgb="FFFFC000"/>
  </sheetPr>
  <dimension ref="A11:Z72"/>
  <sheetViews>
    <sheetView topLeftCell="A4" zoomScale="85" zoomScaleNormal="85" workbookViewId="0">
      <selection activeCell="K20" sqref="K20"/>
    </sheetView>
  </sheetViews>
  <sheetFormatPr defaultRowHeight="18"/>
  <cols>
    <col min="2" max="2" width="24.5" bestFit="1" customWidth="1"/>
    <col min="3" max="3" width="15.25" customWidth="1"/>
    <col min="4" max="4" width="24.5" customWidth="1"/>
    <col min="5" max="5" width="9.125" bestFit="1" customWidth="1"/>
    <col min="6" max="12" width="10.5" bestFit="1" customWidth="1"/>
    <col min="13" max="13" width="10.625" customWidth="1"/>
    <col min="14" max="17" width="10.5" bestFit="1" customWidth="1"/>
    <col min="18" max="18" width="14.375" customWidth="1"/>
    <col min="19" max="20" width="10.5" bestFit="1" customWidth="1"/>
    <col min="21" max="21" width="12.25" bestFit="1" customWidth="1"/>
    <col min="22" max="22" width="11.875" bestFit="1" customWidth="1"/>
    <col min="24" max="24" width="11.875" bestFit="1" customWidth="1"/>
    <col min="25" max="25" width="12.25" bestFit="1" customWidth="1"/>
    <col min="26" max="26" width="10.875" customWidth="1"/>
  </cols>
  <sheetData>
    <row r="11" spans="2:16">
      <c r="M11" s="330" t="s">
        <v>799</v>
      </c>
      <c r="N11" s="25"/>
      <c r="O11" s="25"/>
      <c r="P11" s="25"/>
    </row>
    <row r="12" spans="2:16">
      <c r="M12" s="329" t="s">
        <v>800</v>
      </c>
      <c r="N12" s="25"/>
      <c r="O12" s="25"/>
      <c r="P12" s="25"/>
    </row>
    <row r="13" spans="2:16">
      <c r="M13" s="329" t="s">
        <v>801</v>
      </c>
      <c r="N13" s="25"/>
      <c r="O13" s="25"/>
      <c r="P13" s="25"/>
    </row>
    <row r="14" spans="2:16">
      <c r="M14" s="25"/>
      <c r="N14" s="25"/>
      <c r="O14" s="25"/>
      <c r="P14" s="25"/>
    </row>
    <row r="15" spans="2:16">
      <c r="M15" s="25"/>
      <c r="N15" s="25"/>
      <c r="O15" s="25"/>
      <c r="P15" s="25"/>
    </row>
    <row r="16" spans="2:16">
      <c r="B16" s="262"/>
      <c r="C16" s="262"/>
      <c r="D16" s="262"/>
      <c r="E16" s="262"/>
      <c r="F16" s="262"/>
      <c r="G16" s="262"/>
      <c r="H16" s="262"/>
      <c r="I16" s="262"/>
      <c r="J16" s="262"/>
      <c r="K16" s="370"/>
      <c r="L16" s="370"/>
      <c r="M16" s="262"/>
    </row>
    <row r="17" spans="1:25">
      <c r="A17" t="s">
        <v>802</v>
      </c>
      <c r="N17" t="s">
        <v>717</v>
      </c>
    </row>
    <row r="18" spans="1:25">
      <c r="A18" t="s">
        <v>803</v>
      </c>
      <c r="E18" t="s">
        <v>127</v>
      </c>
      <c r="F18" t="s">
        <v>159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t="s">
        <v>134</v>
      </c>
      <c r="M18" t="s">
        <v>135</v>
      </c>
      <c r="N18" t="s">
        <v>136</v>
      </c>
      <c r="O18" t="s">
        <v>137</v>
      </c>
      <c r="P18" t="s">
        <v>138</v>
      </c>
    </row>
    <row r="19" spans="1:25">
      <c r="D19" t="s">
        <v>140</v>
      </c>
      <c r="E19" s="11"/>
      <c r="F19" s="11"/>
      <c r="G19" s="11"/>
      <c r="H19" s="11"/>
      <c r="I19" s="11"/>
      <c r="J19" s="11"/>
      <c r="K19" s="11"/>
      <c r="L19" s="11"/>
      <c r="M19" s="11"/>
      <c r="N19" s="11">
        <v>34500</v>
      </c>
      <c r="O19" s="11"/>
      <c r="P19" s="11"/>
      <c r="Q19" s="3">
        <f>SUM(E19:P19)</f>
        <v>34500</v>
      </c>
    </row>
    <row r="20" spans="1:25">
      <c r="D20" t="s">
        <v>141</v>
      </c>
    </row>
    <row r="21" spans="1:25">
      <c r="R21" s="3"/>
      <c r="T21" s="11"/>
      <c r="U21" s="3"/>
    </row>
    <row r="22" spans="1:25" hidden="1">
      <c r="A22">
        <v>2024</v>
      </c>
      <c r="E22" s="2"/>
      <c r="F22" s="2" t="s">
        <v>127</v>
      </c>
      <c r="G22" s="2" t="s">
        <v>128</v>
      </c>
      <c r="H22" s="2" t="s">
        <v>129</v>
      </c>
      <c r="I22" s="2" t="s">
        <v>130</v>
      </c>
      <c r="J22" s="2" t="s">
        <v>131</v>
      </c>
      <c r="K22" s="2" t="s">
        <v>132</v>
      </c>
      <c r="L22" s="2" t="s">
        <v>133</v>
      </c>
      <c r="M22" s="2" t="s">
        <v>134</v>
      </c>
      <c r="N22" s="2" t="s">
        <v>135</v>
      </c>
      <c r="O22" s="2" t="s">
        <v>136</v>
      </c>
      <c r="P22" s="2" t="s">
        <v>137</v>
      </c>
      <c r="Q22" s="2" t="s">
        <v>138</v>
      </c>
      <c r="R22" s="11"/>
    </row>
    <row r="23" spans="1:25" hidden="1">
      <c r="B23" t="s">
        <v>153</v>
      </c>
      <c r="E23" s="2"/>
      <c r="F23" s="2">
        <v>40</v>
      </c>
      <c r="G23" s="2">
        <v>40</v>
      </c>
      <c r="H23" s="2">
        <v>40</v>
      </c>
      <c r="I23" s="2">
        <v>45</v>
      </c>
      <c r="J23" s="2">
        <v>45</v>
      </c>
      <c r="K23" s="2">
        <v>45</v>
      </c>
      <c r="L23" s="2">
        <v>45</v>
      </c>
      <c r="M23" s="2">
        <v>45</v>
      </c>
      <c r="N23" s="2">
        <v>45</v>
      </c>
      <c r="O23" s="2">
        <v>45</v>
      </c>
      <c r="P23" s="2">
        <v>45</v>
      </c>
      <c r="Q23" s="2">
        <v>45</v>
      </c>
      <c r="R23" s="2"/>
    </row>
    <row r="24" spans="1:25" hidden="1">
      <c r="B24" t="s">
        <v>792</v>
      </c>
      <c r="E24" s="2">
        <v>6188</v>
      </c>
      <c r="F24" s="2">
        <f>$E$49*F$48</f>
        <v>247520</v>
      </c>
      <c r="G24" s="2">
        <f t="shared" ref="G24:Q24" si="0">$E$49*G$48</f>
        <v>247520</v>
      </c>
      <c r="H24" s="2">
        <f t="shared" si="0"/>
        <v>247520</v>
      </c>
      <c r="I24" s="2">
        <f t="shared" si="0"/>
        <v>278460</v>
      </c>
      <c r="J24" s="2">
        <f t="shared" si="0"/>
        <v>278460</v>
      </c>
      <c r="K24" s="2">
        <f t="shared" si="0"/>
        <v>278460</v>
      </c>
      <c r="L24" s="2">
        <f t="shared" si="0"/>
        <v>278460</v>
      </c>
      <c r="M24" s="2">
        <f t="shared" si="0"/>
        <v>278460</v>
      </c>
      <c r="N24" s="2">
        <f t="shared" si="0"/>
        <v>278460</v>
      </c>
      <c r="O24" s="2">
        <f t="shared" si="0"/>
        <v>278460</v>
      </c>
      <c r="P24" s="2">
        <f t="shared" si="0"/>
        <v>278460</v>
      </c>
      <c r="Q24" s="2">
        <f t="shared" si="0"/>
        <v>278460</v>
      </c>
      <c r="R24" s="2">
        <f>SUM(F24:Q24)</f>
        <v>3248700</v>
      </c>
      <c r="V24" s="9">
        <v>13794000</v>
      </c>
      <c r="W24">
        <v>1200000</v>
      </c>
      <c r="X24" s="1">
        <f>SUM(V24:W24)</f>
        <v>14994000</v>
      </c>
      <c r="Y24" s="3">
        <f>R25-X24</f>
        <v>-11745300</v>
      </c>
    </row>
    <row r="25" spans="1:25" hidden="1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6">
        <f>SUM(R24:R24)</f>
        <v>3248700</v>
      </c>
      <c r="S25" t="s">
        <v>794</v>
      </c>
      <c r="X25" s="9"/>
    </row>
    <row r="26" spans="1:25" hidden="1">
      <c r="Q26" s="34" t="s">
        <v>164</v>
      </c>
      <c r="R26" s="6" t="e">
        <f>R25-#REF!</f>
        <v>#REF!</v>
      </c>
      <c r="S26" t="s">
        <v>795</v>
      </c>
    </row>
    <row r="27" spans="1:25" hidden="1"/>
    <row r="29" spans="1:25">
      <c r="A29" t="s">
        <v>124</v>
      </c>
    </row>
    <row r="30" spans="1:25">
      <c r="A30" t="s">
        <v>803</v>
      </c>
      <c r="E30" t="s">
        <v>127</v>
      </c>
      <c r="F30" t="s">
        <v>159</v>
      </c>
      <c r="G30" t="s">
        <v>129</v>
      </c>
      <c r="H30" t="s">
        <v>130</v>
      </c>
      <c r="I30" t="s">
        <v>131</v>
      </c>
      <c r="J30" t="s">
        <v>132</v>
      </c>
      <c r="K30" t="s">
        <v>133</v>
      </c>
      <c r="L30" t="s">
        <v>134</v>
      </c>
      <c r="M30" t="s">
        <v>135</v>
      </c>
      <c r="N30" t="s">
        <v>136</v>
      </c>
      <c r="O30" t="s">
        <v>137</v>
      </c>
      <c r="P30" t="s">
        <v>138</v>
      </c>
    </row>
    <row r="31" spans="1:25">
      <c r="D31" t="s">
        <v>140</v>
      </c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3">
        <f>SUM(E31:P31)</f>
        <v>0</v>
      </c>
    </row>
    <row r="32" spans="1:25">
      <c r="D32" t="s">
        <v>141</v>
      </c>
    </row>
    <row r="33" spans="1:25">
      <c r="R33" s="3"/>
      <c r="T33" s="11"/>
      <c r="U33" s="3"/>
    </row>
    <row r="34" spans="1:25" hidden="1">
      <c r="A34">
        <v>2024</v>
      </c>
      <c r="E34" s="2"/>
      <c r="F34" s="2" t="s">
        <v>127</v>
      </c>
      <c r="G34" s="2" t="s">
        <v>128</v>
      </c>
      <c r="H34" s="2" t="s">
        <v>129</v>
      </c>
      <c r="I34" s="2" t="s">
        <v>130</v>
      </c>
      <c r="J34" s="2" t="s">
        <v>131</v>
      </c>
      <c r="K34" s="2" t="s">
        <v>132</v>
      </c>
      <c r="L34" s="2" t="s">
        <v>133</v>
      </c>
      <c r="M34" s="2" t="s">
        <v>134</v>
      </c>
      <c r="N34" s="2" t="s">
        <v>135</v>
      </c>
      <c r="O34" s="2" t="s">
        <v>136</v>
      </c>
      <c r="P34" s="2" t="s">
        <v>137</v>
      </c>
      <c r="Q34" s="2" t="s">
        <v>138</v>
      </c>
      <c r="R34" s="11"/>
    </row>
    <row r="35" spans="1:25" hidden="1">
      <c r="B35" t="s">
        <v>153</v>
      </c>
      <c r="E35" s="2"/>
      <c r="F35" s="2">
        <v>40</v>
      </c>
      <c r="G35" s="2">
        <v>40</v>
      </c>
      <c r="H35" s="2">
        <v>40</v>
      </c>
      <c r="I35" s="2">
        <v>45</v>
      </c>
      <c r="J35" s="2">
        <v>45</v>
      </c>
      <c r="K35" s="2">
        <v>45</v>
      </c>
      <c r="L35" s="2">
        <v>45</v>
      </c>
      <c r="M35" s="2">
        <v>45</v>
      </c>
      <c r="N35" s="2">
        <v>45</v>
      </c>
      <c r="O35" s="2">
        <v>45</v>
      </c>
      <c r="P35" s="2">
        <v>45</v>
      </c>
      <c r="Q35" s="2">
        <v>45</v>
      </c>
      <c r="R35" s="2"/>
    </row>
    <row r="36" spans="1:25" hidden="1">
      <c r="B36" t="s">
        <v>792</v>
      </c>
      <c r="E36" s="2">
        <v>6188</v>
      </c>
      <c r="F36" s="2">
        <f>$E$49*F$48</f>
        <v>247520</v>
      </c>
      <c r="G36" s="2">
        <f t="shared" ref="G36:Q36" si="1">$E$49*G$48</f>
        <v>247520</v>
      </c>
      <c r="H36" s="2">
        <f t="shared" si="1"/>
        <v>247520</v>
      </c>
      <c r="I36" s="2">
        <f t="shared" si="1"/>
        <v>278460</v>
      </c>
      <c r="J36" s="2">
        <f t="shared" si="1"/>
        <v>278460</v>
      </c>
      <c r="K36" s="2">
        <f t="shared" si="1"/>
        <v>278460</v>
      </c>
      <c r="L36" s="2">
        <f t="shared" si="1"/>
        <v>278460</v>
      </c>
      <c r="M36" s="2">
        <f t="shared" si="1"/>
        <v>278460</v>
      </c>
      <c r="N36" s="2">
        <f t="shared" si="1"/>
        <v>278460</v>
      </c>
      <c r="O36" s="2">
        <f t="shared" si="1"/>
        <v>278460</v>
      </c>
      <c r="P36" s="2">
        <f t="shared" si="1"/>
        <v>278460</v>
      </c>
      <c r="Q36" s="2">
        <f t="shared" si="1"/>
        <v>278460</v>
      </c>
      <c r="R36" s="2">
        <f>SUM(F36:Q36)</f>
        <v>3248700</v>
      </c>
      <c r="V36" s="9">
        <v>13794000</v>
      </c>
      <c r="W36">
        <v>1200000</v>
      </c>
      <c r="X36" s="1">
        <f>SUM(V36:W36)</f>
        <v>14994000</v>
      </c>
      <c r="Y36" s="3">
        <f>R37-X36</f>
        <v>-11745300</v>
      </c>
    </row>
    <row r="37" spans="1:25" hidden="1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6">
        <f>SUM(R36:R36)</f>
        <v>3248700</v>
      </c>
      <c r="S37" t="s">
        <v>794</v>
      </c>
      <c r="X37" s="9"/>
    </row>
    <row r="38" spans="1:25" hidden="1">
      <c r="Q38" s="34" t="s">
        <v>164</v>
      </c>
      <c r="R38" s="6" t="e">
        <f>R37-#REF!</f>
        <v>#REF!</v>
      </c>
      <c r="S38" t="s">
        <v>795</v>
      </c>
    </row>
    <row r="39" spans="1:25" hidden="1"/>
    <row r="41" spans="1:25">
      <c r="B41" s="262"/>
      <c r="C41" s="262"/>
      <c r="D41" s="262"/>
      <c r="E41" s="262"/>
      <c r="F41" s="262"/>
      <c r="G41" s="262"/>
      <c r="H41" s="262"/>
      <c r="I41" s="262"/>
      <c r="J41" s="262"/>
      <c r="K41" s="370"/>
      <c r="L41" s="370"/>
      <c r="M41" s="262"/>
    </row>
    <row r="42" spans="1:25">
      <c r="A42" t="s">
        <v>123</v>
      </c>
    </row>
    <row r="43" spans="1:25">
      <c r="A43" t="s">
        <v>803</v>
      </c>
      <c r="E43" t="s">
        <v>127</v>
      </c>
      <c r="F43" t="s">
        <v>159</v>
      </c>
      <c r="G43" t="s">
        <v>129</v>
      </c>
      <c r="H43" t="s">
        <v>130</v>
      </c>
      <c r="I43" t="s">
        <v>131</v>
      </c>
      <c r="J43" t="s">
        <v>132</v>
      </c>
      <c r="K43" t="s">
        <v>133</v>
      </c>
      <c r="L43" t="s">
        <v>134</v>
      </c>
      <c r="M43" t="s">
        <v>135</v>
      </c>
      <c r="N43" t="s">
        <v>136</v>
      </c>
      <c r="O43" t="s">
        <v>137</v>
      </c>
      <c r="P43" t="s">
        <v>138</v>
      </c>
    </row>
    <row r="44" spans="1:25">
      <c r="A44" t="s">
        <v>804</v>
      </c>
      <c r="D44" t="s">
        <v>140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>
        <f>SUM(E44:P44)</f>
        <v>0</v>
      </c>
    </row>
    <row r="45" spans="1:25">
      <c r="D45" t="s">
        <v>141</v>
      </c>
      <c r="L45" s="2"/>
      <c r="M45" s="2"/>
      <c r="N45" s="2">
        <v>34500</v>
      </c>
      <c r="O45" s="2"/>
      <c r="P45" s="2"/>
      <c r="Q45" s="2">
        <f>SUM(E45:P45)</f>
        <v>34500</v>
      </c>
    </row>
    <row r="46" spans="1:25">
      <c r="R46" s="3"/>
      <c r="T46" s="11"/>
      <c r="U46" s="3"/>
    </row>
    <row r="47" spans="1:25" hidden="1">
      <c r="A47">
        <v>2024</v>
      </c>
      <c r="E47" s="2"/>
      <c r="F47" s="2" t="s">
        <v>127</v>
      </c>
      <c r="G47" s="2" t="s">
        <v>128</v>
      </c>
      <c r="H47" s="2" t="s">
        <v>129</v>
      </c>
      <c r="I47" s="2" t="s">
        <v>130</v>
      </c>
      <c r="J47" s="2" t="s">
        <v>131</v>
      </c>
      <c r="K47" s="2" t="s">
        <v>132</v>
      </c>
      <c r="L47" s="2" t="s">
        <v>133</v>
      </c>
      <c r="M47" s="2" t="s">
        <v>134</v>
      </c>
      <c r="N47" s="2" t="s">
        <v>135</v>
      </c>
      <c r="O47" s="2" t="s">
        <v>136</v>
      </c>
      <c r="P47" s="2" t="s">
        <v>137</v>
      </c>
      <c r="Q47" s="2" t="s">
        <v>138</v>
      </c>
      <c r="R47" s="11"/>
    </row>
    <row r="48" spans="1:25" hidden="1">
      <c r="B48" t="s">
        <v>153</v>
      </c>
      <c r="E48" s="2"/>
      <c r="F48" s="2">
        <v>40</v>
      </c>
      <c r="G48" s="2">
        <v>40</v>
      </c>
      <c r="H48" s="2">
        <v>40</v>
      </c>
      <c r="I48" s="2">
        <v>45</v>
      </c>
      <c r="J48" s="2">
        <v>45</v>
      </c>
      <c r="K48" s="2">
        <v>45</v>
      </c>
      <c r="L48" s="2">
        <v>45</v>
      </c>
      <c r="M48" s="2">
        <v>45</v>
      </c>
      <c r="N48" s="2">
        <v>45</v>
      </c>
      <c r="O48" s="2">
        <v>45</v>
      </c>
      <c r="P48" s="2">
        <v>45</v>
      </c>
      <c r="Q48" s="2">
        <v>45</v>
      </c>
      <c r="R48" s="2"/>
    </row>
    <row r="49" spans="2:26" hidden="1">
      <c r="B49" t="s">
        <v>792</v>
      </c>
      <c r="E49" s="2">
        <v>6188</v>
      </c>
      <c r="F49" s="2">
        <f>$E$49*F$48</f>
        <v>247520</v>
      </c>
      <c r="G49" s="2">
        <f t="shared" ref="G49:Q49" si="2">$E$49*G$48</f>
        <v>247520</v>
      </c>
      <c r="H49" s="2">
        <f t="shared" si="2"/>
        <v>247520</v>
      </c>
      <c r="I49" s="2">
        <f t="shared" si="2"/>
        <v>278460</v>
      </c>
      <c r="J49" s="2">
        <f t="shared" si="2"/>
        <v>278460</v>
      </c>
      <c r="K49" s="2">
        <f t="shared" si="2"/>
        <v>278460</v>
      </c>
      <c r="L49" s="2">
        <f t="shared" si="2"/>
        <v>278460</v>
      </c>
      <c r="M49" s="2">
        <f t="shared" si="2"/>
        <v>278460</v>
      </c>
      <c r="N49" s="2">
        <f t="shared" si="2"/>
        <v>278460</v>
      </c>
      <c r="O49" s="2">
        <f t="shared" si="2"/>
        <v>278460</v>
      </c>
      <c r="P49" s="2">
        <f t="shared" si="2"/>
        <v>278460</v>
      </c>
      <c r="Q49" s="2">
        <f t="shared" si="2"/>
        <v>278460</v>
      </c>
      <c r="R49" s="2">
        <f>SUM(F49:Q49)</f>
        <v>3248700</v>
      </c>
      <c r="V49" s="9">
        <v>13794000</v>
      </c>
      <c r="W49">
        <v>1200000</v>
      </c>
      <c r="X49" s="1">
        <f>SUM(V49:W49)</f>
        <v>14994000</v>
      </c>
      <c r="Y49" s="3">
        <f>R50-X49</f>
        <v>-11745300</v>
      </c>
    </row>
    <row r="50" spans="2:26" hidden="1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6">
        <f>SUM(R49:R49)</f>
        <v>3248700</v>
      </c>
      <c r="S50" t="s">
        <v>794</v>
      </c>
      <c r="X50" s="9"/>
    </row>
    <row r="51" spans="2:26" hidden="1">
      <c r="Q51" s="34" t="s">
        <v>164</v>
      </c>
      <c r="R51" s="6" t="e">
        <f>R50-#REF!</f>
        <v>#REF!</v>
      </c>
      <c r="S51" t="s">
        <v>795</v>
      </c>
    </row>
    <row r="52" spans="2:26" hidden="1"/>
    <row r="55" spans="2:26">
      <c r="R55" s="1"/>
    </row>
    <row r="56" spans="2:26">
      <c r="W56">
        <v>5380</v>
      </c>
      <c r="X56">
        <v>500</v>
      </c>
      <c r="Y56" s="8">
        <f>X56*W56</f>
        <v>2690000</v>
      </c>
    </row>
    <row r="57" spans="2:26">
      <c r="W57">
        <v>6188</v>
      </c>
      <c r="X57">
        <v>500</v>
      </c>
      <c r="Y57" s="8">
        <f>X57*W57</f>
        <v>3094000</v>
      </c>
    </row>
    <row r="58" spans="2:26">
      <c r="Y58" s="8">
        <f>Y57-Y56</f>
        <v>404000</v>
      </c>
      <c r="Z58" s="8">
        <f>Y58*3</f>
        <v>1212000</v>
      </c>
    </row>
    <row r="60" spans="2:26"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2:26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26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U62" s="8"/>
    </row>
    <row r="63" spans="2:26">
      <c r="Q63" s="8"/>
    </row>
    <row r="64" spans="2:26">
      <c r="R64" s="8"/>
    </row>
    <row r="65" spans="14:18">
      <c r="N65" s="8"/>
      <c r="R65" s="8"/>
    </row>
    <row r="66" spans="14:18">
      <c r="N66" s="3"/>
      <c r="R66" s="8"/>
    </row>
    <row r="68" spans="14:18">
      <c r="N68" s="8"/>
    </row>
    <row r="72" spans="14:18">
      <c r="N72" s="8"/>
      <c r="Q72" s="8"/>
    </row>
  </sheetData>
  <phoneticPr fontId="6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CA3B-C5F6-40D3-BA02-0C58B52F026F}">
  <sheetPr>
    <tabColor rgb="FFFFC000"/>
  </sheetPr>
  <dimension ref="A2:AA77"/>
  <sheetViews>
    <sheetView zoomScale="85" zoomScaleNormal="85" workbookViewId="0">
      <selection activeCell="K20" sqref="K20"/>
    </sheetView>
  </sheetViews>
  <sheetFormatPr defaultRowHeight="18"/>
  <cols>
    <col min="2" max="2" width="24.5" bestFit="1" customWidth="1"/>
    <col min="3" max="3" width="15.25" customWidth="1"/>
    <col min="4" max="5" width="24.5" customWidth="1"/>
    <col min="6" max="6" width="8.625" customWidth="1"/>
    <col min="7" max="8" width="10.5" bestFit="1" customWidth="1"/>
    <col min="9" max="9" width="14.375" customWidth="1"/>
    <col min="10" max="13" width="10.5" bestFit="1" customWidth="1"/>
    <col min="14" max="14" width="10.625" customWidth="1"/>
    <col min="15" max="18" width="10.5" bestFit="1" customWidth="1"/>
    <col min="19" max="19" width="14.375" customWidth="1"/>
    <col min="20" max="21" width="10.5" bestFit="1" customWidth="1"/>
    <col min="22" max="22" width="12.25" bestFit="1" customWidth="1"/>
    <col min="23" max="23" width="11.875" bestFit="1" customWidth="1"/>
    <col min="25" max="25" width="11.875" bestFit="1" customWidth="1"/>
    <col min="26" max="26" width="12.25" bestFit="1" customWidth="1"/>
    <col min="27" max="27" width="10.875" customWidth="1"/>
  </cols>
  <sheetData>
    <row r="2" spans="8:17">
      <c r="H2" t="s">
        <v>299</v>
      </c>
      <c r="I2" s="372">
        <v>46213</v>
      </c>
    </row>
    <row r="4" spans="8:17">
      <c r="I4" t="s">
        <v>156</v>
      </c>
      <c r="J4" t="s">
        <v>805</v>
      </c>
      <c r="K4" t="s">
        <v>806</v>
      </c>
      <c r="L4" t="s">
        <v>807</v>
      </c>
    </row>
    <row r="5" spans="8:17">
      <c r="H5" t="s">
        <v>298</v>
      </c>
      <c r="I5" s="371">
        <v>6120</v>
      </c>
      <c r="J5">
        <v>293</v>
      </c>
      <c r="K5">
        <v>292</v>
      </c>
      <c r="L5">
        <v>30</v>
      </c>
      <c r="N5" s="330" t="s">
        <v>799</v>
      </c>
      <c r="O5" s="25"/>
      <c r="P5" s="25"/>
      <c r="Q5" s="25"/>
    </row>
    <row r="6" spans="8:17">
      <c r="I6" t="s">
        <v>156</v>
      </c>
      <c r="J6" s="2">
        <f>I5*J5</f>
        <v>1793160</v>
      </c>
      <c r="N6" s="329" t="s">
        <v>808</v>
      </c>
      <c r="O6" s="25"/>
      <c r="P6" s="25"/>
      <c r="Q6" s="25"/>
    </row>
    <row r="7" spans="8:17">
      <c r="I7" t="s">
        <v>126</v>
      </c>
      <c r="J7" s="2">
        <f>J6/12</f>
        <v>149430</v>
      </c>
      <c r="N7" s="329"/>
      <c r="O7" s="25"/>
      <c r="P7" s="25"/>
      <c r="Q7" s="25"/>
    </row>
    <row r="8" spans="8:17">
      <c r="N8" s="25"/>
      <c r="O8" s="25"/>
      <c r="P8" s="25"/>
      <c r="Q8" s="25"/>
    </row>
    <row r="9" spans="8:17">
      <c r="N9" s="25"/>
      <c r="O9" s="25"/>
      <c r="P9" s="25"/>
      <c r="Q9" s="25"/>
    </row>
    <row r="18" spans="1:26"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370"/>
      <c r="M18" s="370"/>
      <c r="N18" s="262"/>
    </row>
    <row r="19" spans="1:26">
      <c r="A19" t="s">
        <v>802</v>
      </c>
      <c r="O19" t="s">
        <v>717</v>
      </c>
    </row>
    <row r="20" spans="1:26">
      <c r="A20" t="s">
        <v>809</v>
      </c>
      <c r="F20" t="s">
        <v>127</v>
      </c>
      <c r="G20" t="s">
        <v>159</v>
      </c>
      <c r="H20" t="s">
        <v>129</v>
      </c>
      <c r="I20" t="s">
        <v>130</v>
      </c>
      <c r="J20" t="s">
        <v>131</v>
      </c>
      <c r="K20" t="s">
        <v>132</v>
      </c>
      <c r="L20" t="s">
        <v>133</v>
      </c>
      <c r="M20" t="s">
        <v>134</v>
      </c>
      <c r="N20" t="s">
        <v>135</v>
      </c>
      <c r="O20" t="s">
        <v>136</v>
      </c>
      <c r="P20" t="s">
        <v>137</v>
      </c>
      <c r="Q20" t="s">
        <v>138</v>
      </c>
    </row>
    <row r="21" spans="1:26">
      <c r="D21" t="s">
        <v>140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3">
        <f>SUM(F21:Q21)</f>
        <v>0</v>
      </c>
    </row>
    <row r="22" spans="1:26">
      <c r="D22" t="s">
        <v>141</v>
      </c>
    </row>
    <row r="23" spans="1:26">
      <c r="S23" s="3"/>
      <c r="U23" s="11"/>
      <c r="V23" s="3"/>
    </row>
    <row r="24" spans="1:26" hidden="1">
      <c r="A24">
        <v>2024</v>
      </c>
      <c r="F24" s="2"/>
      <c r="G24" s="2" t="s">
        <v>127</v>
      </c>
      <c r="H24" s="2" t="s">
        <v>128</v>
      </c>
      <c r="I24" s="2" t="s">
        <v>129</v>
      </c>
      <c r="J24" s="2" t="s">
        <v>130</v>
      </c>
      <c r="K24" s="2" t="s">
        <v>131</v>
      </c>
      <c r="L24" s="2" t="s">
        <v>132</v>
      </c>
      <c r="M24" s="2" t="s">
        <v>133</v>
      </c>
      <c r="N24" s="2" t="s">
        <v>134</v>
      </c>
      <c r="O24" s="2" t="s">
        <v>135</v>
      </c>
      <c r="P24" s="2" t="s">
        <v>136</v>
      </c>
      <c r="Q24" s="2" t="s">
        <v>137</v>
      </c>
      <c r="R24" s="2" t="s">
        <v>138</v>
      </c>
      <c r="S24" s="11"/>
    </row>
    <row r="25" spans="1:26" hidden="1">
      <c r="B25" t="s">
        <v>153</v>
      </c>
      <c r="F25" s="2"/>
      <c r="G25" s="2">
        <v>40</v>
      </c>
      <c r="H25" s="2">
        <v>40</v>
      </c>
      <c r="I25" s="2">
        <v>40</v>
      </c>
      <c r="J25" s="2">
        <v>45</v>
      </c>
      <c r="K25" s="2">
        <v>45</v>
      </c>
      <c r="L25" s="2">
        <v>45</v>
      </c>
      <c r="M25" s="2">
        <v>45</v>
      </c>
      <c r="N25" s="2">
        <v>45</v>
      </c>
      <c r="O25" s="2">
        <v>45</v>
      </c>
      <c r="P25" s="2">
        <v>45</v>
      </c>
      <c r="Q25" s="2">
        <v>45</v>
      </c>
      <c r="R25" s="2">
        <v>45</v>
      </c>
      <c r="S25" s="2"/>
    </row>
    <row r="26" spans="1:26" hidden="1">
      <c r="B26" t="s">
        <v>792</v>
      </c>
      <c r="F26" s="2">
        <v>6188</v>
      </c>
      <c r="G26" s="2">
        <f>$F$54*G$53</f>
        <v>247520</v>
      </c>
      <c r="H26" s="2">
        <f t="shared" ref="H26:R26" si="0">$F$54*H$53</f>
        <v>247520</v>
      </c>
      <c r="I26" s="2">
        <f t="shared" si="0"/>
        <v>247520</v>
      </c>
      <c r="J26" s="2">
        <f t="shared" si="0"/>
        <v>278460</v>
      </c>
      <c r="K26" s="2">
        <f t="shared" si="0"/>
        <v>278460</v>
      </c>
      <c r="L26" s="2">
        <f t="shared" si="0"/>
        <v>278460</v>
      </c>
      <c r="M26" s="2">
        <f t="shared" si="0"/>
        <v>278460</v>
      </c>
      <c r="N26" s="2">
        <f t="shared" si="0"/>
        <v>278460</v>
      </c>
      <c r="O26" s="2">
        <f t="shared" si="0"/>
        <v>278460</v>
      </c>
      <c r="P26" s="2">
        <f t="shared" si="0"/>
        <v>278460</v>
      </c>
      <c r="Q26" s="2">
        <f t="shared" si="0"/>
        <v>278460</v>
      </c>
      <c r="R26" s="2">
        <f t="shared" si="0"/>
        <v>278460</v>
      </c>
      <c r="S26" s="2">
        <f>SUM(G26:R26)</f>
        <v>3248700</v>
      </c>
      <c r="W26" s="9">
        <v>13794000</v>
      </c>
      <c r="X26">
        <v>1200000</v>
      </c>
      <c r="Y26" s="1">
        <f>SUM(W26:X26)</f>
        <v>14994000</v>
      </c>
      <c r="Z26" s="3">
        <f>S27-Y26</f>
        <v>-11745300</v>
      </c>
    </row>
    <row r="27" spans="1:26" hidden="1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6">
        <f>SUM(S26:S26)</f>
        <v>3248700</v>
      </c>
      <c r="T27" t="s">
        <v>794</v>
      </c>
      <c r="Y27" s="9"/>
    </row>
    <row r="28" spans="1:26" hidden="1">
      <c r="R28" s="34" t="s">
        <v>164</v>
      </c>
      <c r="S28" s="6" t="e">
        <f>S27-#REF!</f>
        <v>#REF!</v>
      </c>
      <c r="T28" t="s">
        <v>795</v>
      </c>
    </row>
    <row r="29" spans="1:26" hidden="1"/>
    <row r="31" spans="1:26">
      <c r="A31" t="s">
        <v>124</v>
      </c>
    </row>
    <row r="32" spans="1:26">
      <c r="A32" t="s">
        <v>809</v>
      </c>
      <c r="F32" t="s">
        <v>127</v>
      </c>
      <c r="G32" t="s">
        <v>159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  <c r="N32" t="s">
        <v>135</v>
      </c>
      <c r="O32" t="s">
        <v>136</v>
      </c>
      <c r="P32" t="s">
        <v>137</v>
      </c>
      <c r="Q32" t="s">
        <v>138</v>
      </c>
    </row>
    <row r="33" spans="1:26">
      <c r="D33" t="s">
        <v>140</v>
      </c>
      <c r="F33" s="124">
        <f>$I$5/12*(F$34+F$35)</f>
        <v>149430</v>
      </c>
      <c r="G33" s="124">
        <f t="shared" ref="G33:Q33" si="1">$I$5/12*(G$34+G$35)</f>
        <v>154530</v>
      </c>
      <c r="H33" s="124">
        <f t="shared" si="1"/>
        <v>149430</v>
      </c>
      <c r="I33" s="124">
        <f t="shared" si="1"/>
        <v>149430</v>
      </c>
      <c r="J33" s="124">
        <f t="shared" si="1"/>
        <v>154530</v>
      </c>
      <c r="K33" s="124">
        <f t="shared" si="1"/>
        <v>149430</v>
      </c>
      <c r="L33" s="124">
        <f t="shared" si="1"/>
        <v>149430</v>
      </c>
      <c r="M33" s="124">
        <f t="shared" si="1"/>
        <v>149430</v>
      </c>
      <c r="N33" s="124">
        <f t="shared" si="1"/>
        <v>154530</v>
      </c>
      <c r="O33" s="124">
        <f t="shared" si="1"/>
        <v>149430</v>
      </c>
      <c r="P33" s="124">
        <f t="shared" si="1"/>
        <v>149430</v>
      </c>
      <c r="Q33" s="124">
        <f t="shared" si="1"/>
        <v>149430</v>
      </c>
      <c r="R33" s="3">
        <f>SUM(F33:Q33)</f>
        <v>1808460</v>
      </c>
    </row>
    <row r="34" spans="1:26">
      <c r="E34" t="s">
        <v>571</v>
      </c>
      <c r="F34" s="11">
        <v>293</v>
      </c>
      <c r="G34" s="11">
        <v>293</v>
      </c>
      <c r="H34" s="11">
        <v>293</v>
      </c>
      <c r="I34" s="11">
        <v>293</v>
      </c>
      <c r="J34" s="11">
        <v>293</v>
      </c>
      <c r="K34" s="11">
        <v>293</v>
      </c>
      <c r="L34" s="11">
        <v>293</v>
      </c>
      <c r="M34" s="11">
        <v>293</v>
      </c>
      <c r="N34" s="11">
        <v>293</v>
      </c>
      <c r="O34" s="11">
        <v>293</v>
      </c>
      <c r="P34" s="11">
        <v>293</v>
      </c>
      <c r="Q34" s="11">
        <v>293</v>
      </c>
      <c r="R34" s="3"/>
    </row>
    <row r="35" spans="1:26">
      <c r="E35" t="s">
        <v>572</v>
      </c>
      <c r="F35" s="11"/>
      <c r="G35" s="11">
        <v>10</v>
      </c>
      <c r="H35" s="11"/>
      <c r="I35" s="11"/>
      <c r="J35" s="11">
        <v>10</v>
      </c>
      <c r="K35" s="11"/>
      <c r="L35" s="11"/>
      <c r="M35" s="11"/>
      <c r="N35" s="11">
        <v>10</v>
      </c>
      <c r="O35" s="11"/>
      <c r="P35" s="11"/>
      <c r="Q35" s="11"/>
      <c r="R35" s="3"/>
    </row>
    <row r="36" spans="1:26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"/>
    </row>
    <row r="37" spans="1:26">
      <c r="D37" t="s">
        <v>141</v>
      </c>
    </row>
    <row r="38" spans="1:26">
      <c r="S38" s="3"/>
      <c r="U38" s="11"/>
      <c r="V38" s="3"/>
    </row>
    <row r="39" spans="1:26" hidden="1">
      <c r="A39">
        <v>2024</v>
      </c>
      <c r="F39" s="2"/>
      <c r="G39" s="2" t="s">
        <v>127</v>
      </c>
      <c r="H39" s="2" t="s">
        <v>128</v>
      </c>
      <c r="I39" s="2" t="s">
        <v>129</v>
      </c>
      <c r="J39" s="2" t="s">
        <v>130</v>
      </c>
      <c r="K39" s="2" t="s">
        <v>131</v>
      </c>
      <c r="L39" s="2" t="s">
        <v>132</v>
      </c>
      <c r="M39" s="2" t="s">
        <v>133</v>
      </c>
      <c r="N39" s="2" t="s">
        <v>134</v>
      </c>
      <c r="O39" s="2" t="s">
        <v>135</v>
      </c>
      <c r="P39" s="2" t="s">
        <v>136</v>
      </c>
      <c r="Q39" s="2" t="s">
        <v>137</v>
      </c>
      <c r="R39" s="2" t="s">
        <v>138</v>
      </c>
      <c r="S39" s="11"/>
    </row>
    <row r="40" spans="1:26" hidden="1">
      <c r="B40" t="s">
        <v>153</v>
      </c>
      <c r="F40" s="2"/>
      <c r="G40" s="2">
        <v>40</v>
      </c>
      <c r="H40" s="2">
        <v>40</v>
      </c>
      <c r="I40" s="2">
        <v>40</v>
      </c>
      <c r="J40" s="2">
        <v>45</v>
      </c>
      <c r="K40" s="2">
        <v>45</v>
      </c>
      <c r="L40" s="2">
        <v>45</v>
      </c>
      <c r="M40" s="2">
        <v>45</v>
      </c>
      <c r="N40" s="2">
        <v>45</v>
      </c>
      <c r="O40" s="2">
        <v>45</v>
      </c>
      <c r="P40" s="2">
        <v>45</v>
      </c>
      <c r="Q40" s="2">
        <v>45</v>
      </c>
      <c r="R40" s="2">
        <v>45</v>
      </c>
      <c r="S40" s="2"/>
    </row>
    <row r="41" spans="1:26" hidden="1">
      <c r="B41" t="s">
        <v>792</v>
      </c>
      <c r="F41" s="2">
        <v>6188</v>
      </c>
      <c r="G41" s="2">
        <f>$F$54*G$53</f>
        <v>247520</v>
      </c>
      <c r="H41" s="2">
        <f t="shared" ref="H41:R41" si="2">$F$54*H$53</f>
        <v>247520</v>
      </c>
      <c r="I41" s="2">
        <f t="shared" si="2"/>
        <v>247520</v>
      </c>
      <c r="J41" s="2">
        <f t="shared" si="2"/>
        <v>278460</v>
      </c>
      <c r="K41" s="2">
        <f t="shared" si="2"/>
        <v>278460</v>
      </c>
      <c r="L41" s="2">
        <f t="shared" si="2"/>
        <v>278460</v>
      </c>
      <c r="M41" s="2">
        <f t="shared" si="2"/>
        <v>278460</v>
      </c>
      <c r="N41" s="2">
        <f t="shared" si="2"/>
        <v>278460</v>
      </c>
      <c r="O41" s="2">
        <f t="shared" si="2"/>
        <v>278460</v>
      </c>
      <c r="P41" s="2">
        <f t="shared" si="2"/>
        <v>278460</v>
      </c>
      <c r="Q41" s="2">
        <f t="shared" si="2"/>
        <v>278460</v>
      </c>
      <c r="R41" s="2">
        <f t="shared" si="2"/>
        <v>278460</v>
      </c>
      <c r="S41" s="2">
        <f>SUM(G41:R41)</f>
        <v>3248700</v>
      </c>
      <c r="W41" s="9">
        <v>13794000</v>
      </c>
      <c r="X41">
        <v>1200000</v>
      </c>
      <c r="Y41" s="1">
        <f>SUM(W41:X41)</f>
        <v>14994000</v>
      </c>
      <c r="Z41" s="3">
        <f>S42-Y41</f>
        <v>-11745300</v>
      </c>
    </row>
    <row r="42" spans="1:26" hidden="1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6">
        <f>SUM(S41:S41)</f>
        <v>3248700</v>
      </c>
      <c r="T42" t="s">
        <v>794</v>
      </c>
      <c r="Y42" s="9"/>
    </row>
    <row r="43" spans="1:26" hidden="1">
      <c r="R43" s="34" t="s">
        <v>164</v>
      </c>
      <c r="S43" s="6" t="e">
        <f>S42-#REF!</f>
        <v>#REF!</v>
      </c>
      <c r="T43" t="s">
        <v>795</v>
      </c>
    </row>
    <row r="44" spans="1:26" hidden="1"/>
    <row r="46" spans="1:26"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370"/>
      <c r="M46" s="370"/>
      <c r="N46" s="262"/>
    </row>
    <row r="47" spans="1:26">
      <c r="A47" t="s">
        <v>123</v>
      </c>
    </row>
    <row r="48" spans="1:26">
      <c r="A48" t="s">
        <v>809</v>
      </c>
      <c r="F48" t="s">
        <v>127</v>
      </c>
      <c r="G48" t="s">
        <v>159</v>
      </c>
      <c r="H48" t="s">
        <v>129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135</v>
      </c>
      <c r="O48" t="s">
        <v>136</v>
      </c>
      <c r="P48" t="s">
        <v>137</v>
      </c>
      <c r="Q48" t="s">
        <v>138</v>
      </c>
    </row>
    <row r="49" spans="1:27">
      <c r="A49" t="s">
        <v>804</v>
      </c>
      <c r="D49" t="s">
        <v>140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2">
        <f>SUM(F49:Q49)</f>
        <v>0</v>
      </c>
    </row>
    <row r="50" spans="1:27">
      <c r="D50" t="s">
        <v>141</v>
      </c>
      <c r="M50" s="2"/>
      <c r="N50" s="2">
        <v>407537</v>
      </c>
      <c r="O50" s="2"/>
      <c r="P50" s="2"/>
      <c r="Q50" s="2"/>
      <c r="R50" s="2">
        <f>SUM(F50:Q50)</f>
        <v>407537</v>
      </c>
    </row>
    <row r="51" spans="1:27">
      <c r="S51" s="3"/>
      <c r="U51" s="11"/>
      <c r="V51" s="3"/>
    </row>
    <row r="52" spans="1:27" hidden="1">
      <c r="A52">
        <v>2024</v>
      </c>
      <c r="F52" s="2"/>
      <c r="G52" s="2" t="s">
        <v>127</v>
      </c>
      <c r="H52" s="2" t="s">
        <v>128</v>
      </c>
      <c r="I52" s="2" t="s">
        <v>129</v>
      </c>
      <c r="J52" s="2" t="s">
        <v>130</v>
      </c>
      <c r="K52" s="2" t="s">
        <v>131</v>
      </c>
      <c r="L52" s="2" t="s">
        <v>132</v>
      </c>
      <c r="M52" s="2" t="s">
        <v>133</v>
      </c>
      <c r="N52" s="2" t="s">
        <v>134</v>
      </c>
      <c r="O52" s="2" t="s">
        <v>135</v>
      </c>
      <c r="P52" s="2" t="s">
        <v>136</v>
      </c>
      <c r="Q52" s="2" t="s">
        <v>137</v>
      </c>
      <c r="R52" s="2" t="s">
        <v>138</v>
      </c>
      <c r="S52" s="11"/>
    </row>
    <row r="53" spans="1:27" hidden="1">
      <c r="B53" t="s">
        <v>153</v>
      </c>
      <c r="F53" s="2"/>
      <c r="G53" s="2">
        <v>40</v>
      </c>
      <c r="H53" s="2">
        <v>40</v>
      </c>
      <c r="I53" s="2">
        <v>40</v>
      </c>
      <c r="J53" s="2">
        <v>45</v>
      </c>
      <c r="K53" s="2">
        <v>45</v>
      </c>
      <c r="L53" s="2">
        <v>45</v>
      </c>
      <c r="M53" s="2">
        <v>45</v>
      </c>
      <c r="N53" s="2">
        <v>45</v>
      </c>
      <c r="O53" s="2">
        <v>45</v>
      </c>
      <c r="P53" s="2">
        <v>45</v>
      </c>
      <c r="Q53" s="2">
        <v>45</v>
      </c>
      <c r="R53" s="2">
        <v>45</v>
      </c>
      <c r="S53" s="2"/>
    </row>
    <row r="54" spans="1:27" hidden="1">
      <c r="B54" t="s">
        <v>792</v>
      </c>
      <c r="F54" s="2">
        <v>6188</v>
      </c>
      <c r="G54" s="2">
        <f>$F$54*G$53</f>
        <v>247520</v>
      </c>
      <c r="H54" s="2">
        <f t="shared" ref="H54:R54" si="3">$F$54*H$53</f>
        <v>247520</v>
      </c>
      <c r="I54" s="2">
        <f t="shared" si="3"/>
        <v>247520</v>
      </c>
      <c r="J54" s="2">
        <f t="shared" si="3"/>
        <v>278460</v>
      </c>
      <c r="K54" s="2">
        <f t="shared" si="3"/>
        <v>278460</v>
      </c>
      <c r="L54" s="2">
        <f t="shared" si="3"/>
        <v>278460</v>
      </c>
      <c r="M54" s="2">
        <f t="shared" si="3"/>
        <v>278460</v>
      </c>
      <c r="N54" s="2">
        <f t="shared" si="3"/>
        <v>278460</v>
      </c>
      <c r="O54" s="2">
        <f t="shared" si="3"/>
        <v>278460</v>
      </c>
      <c r="P54" s="2">
        <f t="shared" si="3"/>
        <v>278460</v>
      </c>
      <c r="Q54" s="2">
        <f t="shared" si="3"/>
        <v>278460</v>
      </c>
      <c r="R54" s="2">
        <f t="shared" si="3"/>
        <v>278460</v>
      </c>
      <c r="S54" s="2">
        <f>SUM(G54:R54)</f>
        <v>3248700</v>
      </c>
      <c r="W54" s="9">
        <v>13794000</v>
      </c>
      <c r="X54">
        <v>1200000</v>
      </c>
      <c r="Y54" s="1">
        <f>SUM(W54:X54)</f>
        <v>14994000</v>
      </c>
      <c r="Z54" s="3">
        <f>S55-Y54</f>
        <v>-11745300</v>
      </c>
    </row>
    <row r="55" spans="1:27" hidden="1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6">
        <f>SUM(S54:S54)</f>
        <v>3248700</v>
      </c>
      <c r="T55" t="s">
        <v>794</v>
      </c>
      <c r="Y55" s="9"/>
    </row>
    <row r="56" spans="1:27" hidden="1">
      <c r="R56" s="34" t="s">
        <v>164</v>
      </c>
      <c r="S56" s="6" t="e">
        <f>S55-#REF!</f>
        <v>#REF!</v>
      </c>
      <c r="T56" t="s">
        <v>795</v>
      </c>
    </row>
    <row r="57" spans="1:27" hidden="1"/>
    <row r="60" spans="1:27">
      <c r="S60" s="1"/>
    </row>
    <row r="61" spans="1:27">
      <c r="X61">
        <v>5380</v>
      </c>
      <c r="Y61">
        <v>500</v>
      </c>
      <c r="Z61" s="8">
        <f>Y61*X61</f>
        <v>2690000</v>
      </c>
    </row>
    <row r="62" spans="1:27">
      <c r="X62">
        <v>6188</v>
      </c>
      <c r="Y62">
        <v>500</v>
      </c>
      <c r="Z62" s="8">
        <f>Y62*X62</f>
        <v>3094000</v>
      </c>
    </row>
    <row r="63" spans="1:27">
      <c r="Z63" s="8">
        <f>Z62-Z61</f>
        <v>404000</v>
      </c>
      <c r="AA63" s="8">
        <f>Z63*3</f>
        <v>1212000</v>
      </c>
    </row>
    <row r="65" spans="7:22"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7:22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7:22"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V67" s="8"/>
    </row>
    <row r="68" spans="7:22">
      <c r="R68" s="8"/>
    </row>
    <row r="69" spans="7:22">
      <c r="S69" s="8"/>
    </row>
    <row r="70" spans="7:22">
      <c r="O70" s="8"/>
      <c r="S70" s="8"/>
    </row>
    <row r="71" spans="7:22">
      <c r="O71" s="3"/>
      <c r="S71" s="8"/>
    </row>
    <row r="73" spans="7:22">
      <c r="O73" s="8"/>
    </row>
    <row r="77" spans="7:22">
      <c r="O77" s="8"/>
      <c r="R77" s="8"/>
    </row>
  </sheetData>
  <phoneticPr fontId="6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26F3-576B-4D6C-90BB-70F4D2608A29}">
  <sheetPr>
    <tabColor rgb="FFFFC000"/>
  </sheetPr>
  <dimension ref="A2:AA69"/>
  <sheetViews>
    <sheetView topLeftCell="A13" zoomScale="85" zoomScaleNormal="85" workbookViewId="0">
      <selection activeCell="K20" sqref="K20"/>
    </sheetView>
  </sheetViews>
  <sheetFormatPr defaultRowHeight="18"/>
  <cols>
    <col min="2" max="2" width="24.5" bestFit="1" customWidth="1"/>
    <col min="3" max="3" width="15.25" customWidth="1"/>
    <col min="4" max="5" width="24.5" customWidth="1"/>
    <col min="6" max="6" width="8.625" customWidth="1"/>
    <col min="7" max="8" width="10.5" bestFit="1" customWidth="1"/>
    <col min="9" max="9" width="14.375" customWidth="1"/>
    <col min="10" max="13" width="10.5" bestFit="1" customWidth="1"/>
    <col min="14" max="14" width="10.625" customWidth="1"/>
    <col min="15" max="18" width="10.5" bestFit="1" customWidth="1"/>
    <col min="19" max="19" width="14.375" customWidth="1"/>
    <col min="20" max="21" width="10.5" bestFit="1" customWidth="1"/>
    <col min="22" max="22" width="12.25" bestFit="1" customWidth="1"/>
    <col min="23" max="23" width="11.875" bestFit="1" customWidth="1"/>
    <col min="25" max="25" width="11.875" bestFit="1" customWidth="1"/>
    <col min="26" max="26" width="12.25" bestFit="1" customWidth="1"/>
    <col min="27" max="27" width="10.875" customWidth="1"/>
  </cols>
  <sheetData>
    <row r="2" spans="1:13">
      <c r="A2" s="114" t="s">
        <v>810</v>
      </c>
      <c r="I2" s="372"/>
    </row>
    <row r="5" spans="1:13">
      <c r="I5" s="371"/>
      <c r="J5" s="330" t="s">
        <v>799</v>
      </c>
      <c r="K5" s="25"/>
      <c r="L5" s="25"/>
      <c r="M5" s="25"/>
    </row>
    <row r="6" spans="1:13">
      <c r="J6" s="329" t="s">
        <v>811</v>
      </c>
      <c r="K6" s="25"/>
      <c r="L6" s="25"/>
      <c r="M6" s="25"/>
    </row>
    <row r="7" spans="1:13">
      <c r="J7" s="329"/>
      <c r="K7" s="25"/>
      <c r="L7" s="25"/>
      <c r="M7" s="25"/>
    </row>
    <row r="8" spans="1:13">
      <c r="J8" s="25"/>
      <c r="K8" s="25"/>
      <c r="L8" s="25"/>
      <c r="M8" s="25"/>
    </row>
    <row r="9" spans="1:13">
      <c r="J9" s="25"/>
      <c r="K9" s="25"/>
      <c r="L9" s="25"/>
      <c r="M9" s="25"/>
    </row>
    <row r="18" spans="1:26"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370"/>
      <c r="M18" s="370"/>
      <c r="N18" s="262"/>
    </row>
    <row r="21" spans="1:26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3"/>
    </row>
    <row r="23" spans="1:26">
      <c r="S23" s="3"/>
      <c r="U23" s="11"/>
      <c r="V23" s="3"/>
    </row>
    <row r="24" spans="1:26" hidden="1"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26" hidden="1"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26" hidden="1"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W26" s="373"/>
      <c r="Y26" s="1"/>
      <c r="Z26" s="3"/>
    </row>
    <row r="27" spans="1:26" hidden="1"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Y27" s="373"/>
    </row>
    <row r="28" spans="1:26" hidden="1">
      <c r="S28" s="3"/>
    </row>
    <row r="29" spans="1:26" hidden="1"/>
    <row r="30" spans="1:26">
      <c r="E30" t="s">
        <v>612</v>
      </c>
      <c r="F30" t="s">
        <v>298</v>
      </c>
    </row>
    <row r="31" spans="1:26" hidden="1">
      <c r="A31">
        <v>2024</v>
      </c>
      <c r="F31" s="2"/>
      <c r="G31" s="2" t="s">
        <v>127</v>
      </c>
      <c r="H31" s="2" t="s">
        <v>128</v>
      </c>
      <c r="I31" s="2" t="s">
        <v>129</v>
      </c>
      <c r="J31" s="2" t="s">
        <v>130</v>
      </c>
      <c r="K31" s="2" t="s">
        <v>131</v>
      </c>
      <c r="L31" s="2" t="s">
        <v>132</v>
      </c>
      <c r="M31" s="2" t="s">
        <v>133</v>
      </c>
      <c r="N31" s="2" t="s">
        <v>134</v>
      </c>
      <c r="O31" s="2" t="s">
        <v>135</v>
      </c>
      <c r="P31" s="2" t="s">
        <v>136</v>
      </c>
      <c r="Q31" s="2" t="s">
        <v>137</v>
      </c>
      <c r="R31" s="2" t="s">
        <v>138</v>
      </c>
      <c r="S31" s="11"/>
    </row>
    <row r="32" spans="1:26" hidden="1">
      <c r="B32" t="s">
        <v>153</v>
      </c>
      <c r="F32" s="2"/>
      <c r="G32" s="2">
        <v>40</v>
      </c>
      <c r="H32" s="2">
        <v>40</v>
      </c>
      <c r="I32" s="2">
        <v>40</v>
      </c>
      <c r="J32" s="2">
        <v>45</v>
      </c>
      <c r="K32" s="2">
        <v>45</v>
      </c>
      <c r="L32" s="2">
        <v>45</v>
      </c>
      <c r="M32" s="2">
        <v>45</v>
      </c>
      <c r="N32" s="2">
        <v>45</v>
      </c>
      <c r="O32" s="2">
        <v>45</v>
      </c>
      <c r="P32" s="2">
        <v>45</v>
      </c>
      <c r="Q32" s="2">
        <v>45</v>
      </c>
      <c r="R32" s="2">
        <v>45</v>
      </c>
      <c r="S32" s="2"/>
    </row>
    <row r="33" spans="1:26" hidden="1">
      <c r="B33" t="s">
        <v>792</v>
      </c>
      <c r="F33" s="2">
        <v>6188</v>
      </c>
      <c r="G33" s="2">
        <f>$F$46*G$45</f>
        <v>247520</v>
      </c>
      <c r="H33" s="2">
        <f t="shared" ref="H33:R33" si="0">$F$46*H$45</f>
        <v>247520</v>
      </c>
      <c r="I33" s="2">
        <f t="shared" si="0"/>
        <v>247520</v>
      </c>
      <c r="J33" s="2">
        <f t="shared" si="0"/>
        <v>278460</v>
      </c>
      <c r="K33" s="2">
        <f t="shared" si="0"/>
        <v>278460</v>
      </c>
      <c r="L33" s="2">
        <f t="shared" si="0"/>
        <v>278460</v>
      </c>
      <c r="M33" s="2">
        <f t="shared" si="0"/>
        <v>278460</v>
      </c>
      <c r="N33" s="2">
        <f t="shared" si="0"/>
        <v>278460</v>
      </c>
      <c r="O33" s="2">
        <f t="shared" si="0"/>
        <v>278460</v>
      </c>
      <c r="P33" s="2">
        <f t="shared" si="0"/>
        <v>278460</v>
      </c>
      <c r="Q33" s="2">
        <f t="shared" si="0"/>
        <v>278460</v>
      </c>
      <c r="R33" s="2">
        <f t="shared" si="0"/>
        <v>278460</v>
      </c>
      <c r="S33" s="2">
        <f>SUM(G33:R33)</f>
        <v>3248700</v>
      </c>
      <c r="W33" s="9">
        <v>13794000</v>
      </c>
      <c r="X33">
        <v>1200000</v>
      </c>
      <c r="Y33" s="1">
        <f>SUM(W33:X33)</f>
        <v>14994000</v>
      </c>
      <c r="Z33" s="3">
        <f>S34-Y33</f>
        <v>-11745300</v>
      </c>
    </row>
    <row r="34" spans="1:26" hidden="1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6">
        <f>SUM(S33:S33)</f>
        <v>3248700</v>
      </c>
      <c r="T34" t="s">
        <v>794</v>
      </c>
      <c r="Y34" s="9"/>
    </row>
    <row r="35" spans="1:26" hidden="1">
      <c r="R35" s="34" t="s">
        <v>164</v>
      </c>
      <c r="S35" s="6" t="e">
        <f>S34-#REF!</f>
        <v>#REF!</v>
      </c>
      <c r="T35" t="s">
        <v>795</v>
      </c>
    </row>
    <row r="36" spans="1:26" hidden="1"/>
    <row r="37" spans="1:26">
      <c r="E37">
        <v>2160</v>
      </c>
      <c r="F37">
        <v>20</v>
      </c>
      <c r="H37" s="2">
        <f>E37*F37</f>
        <v>43200</v>
      </c>
    </row>
    <row r="38" spans="1:26"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370"/>
      <c r="M38" s="370"/>
      <c r="N38" s="262"/>
    </row>
    <row r="39" spans="1:26">
      <c r="A39" t="s">
        <v>123</v>
      </c>
    </row>
    <row r="40" spans="1:26">
      <c r="A40" t="s">
        <v>812</v>
      </c>
      <c r="F40" t="s">
        <v>127</v>
      </c>
      <c r="G40" t="s">
        <v>159</v>
      </c>
      <c r="H40" t="s">
        <v>129</v>
      </c>
      <c r="I40" t="s">
        <v>130</v>
      </c>
      <c r="J40" t="s">
        <v>131</v>
      </c>
      <c r="K40" t="s">
        <v>132</v>
      </c>
      <c r="L40" t="s">
        <v>133</v>
      </c>
      <c r="M40" t="s">
        <v>134</v>
      </c>
      <c r="N40" t="s">
        <v>135</v>
      </c>
      <c r="O40" t="s">
        <v>136</v>
      </c>
      <c r="P40" t="s">
        <v>137</v>
      </c>
      <c r="Q40" t="s">
        <v>138</v>
      </c>
    </row>
    <row r="41" spans="1:26">
      <c r="D41" s="25" t="s">
        <v>140</v>
      </c>
      <c r="E41" s="25"/>
      <c r="F41" s="26">
        <f>$H$37</f>
        <v>43200</v>
      </c>
      <c r="G41" s="26">
        <f t="shared" ref="G41:Q41" si="1">$H$37</f>
        <v>43200</v>
      </c>
      <c r="H41" s="26">
        <f t="shared" si="1"/>
        <v>43200</v>
      </c>
      <c r="I41" s="26">
        <f t="shared" si="1"/>
        <v>43200</v>
      </c>
      <c r="J41" s="26">
        <f t="shared" si="1"/>
        <v>43200</v>
      </c>
      <c r="K41" s="26">
        <f t="shared" si="1"/>
        <v>43200</v>
      </c>
      <c r="L41" s="26">
        <f t="shared" si="1"/>
        <v>43200</v>
      </c>
      <c r="M41" s="26">
        <f t="shared" si="1"/>
        <v>43200</v>
      </c>
      <c r="N41" s="26">
        <f t="shared" si="1"/>
        <v>43200</v>
      </c>
      <c r="O41" s="26">
        <f t="shared" si="1"/>
        <v>43200</v>
      </c>
      <c r="P41" s="26">
        <f t="shared" si="1"/>
        <v>43200</v>
      </c>
      <c r="Q41" s="26">
        <f t="shared" si="1"/>
        <v>43200</v>
      </c>
      <c r="R41" s="2">
        <f>SUM(F41:Q41)</f>
        <v>518400</v>
      </c>
    </row>
    <row r="42" spans="1:26">
      <c r="D42" t="s">
        <v>141</v>
      </c>
      <c r="M42" s="2"/>
      <c r="N42" s="2"/>
      <c r="O42" s="2"/>
      <c r="P42" s="2"/>
      <c r="Q42" s="2"/>
      <c r="R42" s="2"/>
    </row>
    <row r="43" spans="1:26">
      <c r="S43" s="3"/>
      <c r="U43" s="11"/>
      <c r="V43" s="3"/>
    </row>
    <row r="44" spans="1:26" hidden="1">
      <c r="A44">
        <v>2024</v>
      </c>
      <c r="F44" s="2"/>
      <c r="G44" s="2" t="s">
        <v>127</v>
      </c>
      <c r="H44" s="2" t="s">
        <v>128</v>
      </c>
      <c r="I44" s="2" t="s">
        <v>129</v>
      </c>
      <c r="J44" s="2" t="s">
        <v>130</v>
      </c>
      <c r="K44" s="2" t="s">
        <v>131</v>
      </c>
      <c r="L44" s="2" t="s">
        <v>132</v>
      </c>
      <c r="M44" s="2" t="s">
        <v>133</v>
      </c>
      <c r="N44" s="2" t="s">
        <v>134</v>
      </c>
      <c r="O44" s="2" t="s">
        <v>135</v>
      </c>
      <c r="P44" s="2" t="s">
        <v>136</v>
      </c>
      <c r="Q44" s="2" t="s">
        <v>137</v>
      </c>
      <c r="R44" s="2" t="s">
        <v>138</v>
      </c>
      <c r="S44" s="11"/>
    </row>
    <row r="45" spans="1:26" hidden="1">
      <c r="B45" t="s">
        <v>153</v>
      </c>
      <c r="F45" s="2"/>
      <c r="G45" s="2">
        <v>40</v>
      </c>
      <c r="H45" s="2">
        <v>40</v>
      </c>
      <c r="I45" s="2">
        <v>40</v>
      </c>
      <c r="J45" s="2">
        <v>45</v>
      </c>
      <c r="K45" s="2">
        <v>45</v>
      </c>
      <c r="L45" s="2">
        <v>45</v>
      </c>
      <c r="M45" s="2">
        <v>45</v>
      </c>
      <c r="N45" s="2">
        <v>45</v>
      </c>
      <c r="O45" s="2">
        <v>45</v>
      </c>
      <c r="P45" s="2">
        <v>45</v>
      </c>
      <c r="Q45" s="2">
        <v>45</v>
      </c>
      <c r="R45" s="2">
        <v>45</v>
      </c>
      <c r="S45" s="2"/>
    </row>
    <row r="46" spans="1:26" hidden="1">
      <c r="B46" t="s">
        <v>792</v>
      </c>
      <c r="F46" s="2">
        <v>6188</v>
      </c>
      <c r="G46" s="2">
        <f>$F$46*G$45</f>
        <v>247520</v>
      </c>
      <c r="H46" s="2">
        <f t="shared" ref="H46:R46" si="2">$F$46*H$45</f>
        <v>247520</v>
      </c>
      <c r="I46" s="2">
        <f t="shared" si="2"/>
        <v>247520</v>
      </c>
      <c r="J46" s="2">
        <f t="shared" si="2"/>
        <v>278460</v>
      </c>
      <c r="K46" s="2">
        <f t="shared" si="2"/>
        <v>278460</v>
      </c>
      <c r="L46" s="2">
        <f t="shared" si="2"/>
        <v>278460</v>
      </c>
      <c r="M46" s="2">
        <f t="shared" si="2"/>
        <v>278460</v>
      </c>
      <c r="N46" s="2">
        <f t="shared" si="2"/>
        <v>278460</v>
      </c>
      <c r="O46" s="2">
        <f t="shared" si="2"/>
        <v>278460</v>
      </c>
      <c r="P46" s="2">
        <f t="shared" si="2"/>
        <v>278460</v>
      </c>
      <c r="Q46" s="2">
        <f t="shared" si="2"/>
        <v>278460</v>
      </c>
      <c r="R46" s="2">
        <f t="shared" si="2"/>
        <v>278460</v>
      </c>
      <c r="S46" s="2">
        <f>SUM(G46:R46)</f>
        <v>3248700</v>
      </c>
      <c r="W46" s="9">
        <v>13794000</v>
      </c>
      <c r="X46">
        <v>1200000</v>
      </c>
      <c r="Y46" s="1">
        <f>SUM(W46:X46)</f>
        <v>14994000</v>
      </c>
      <c r="Z46" s="3">
        <f>S47-Y46</f>
        <v>-11745300</v>
      </c>
    </row>
    <row r="47" spans="1:26" hidden="1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6">
        <f>SUM(S46:S46)</f>
        <v>3248700</v>
      </c>
      <c r="T47" t="s">
        <v>794</v>
      </c>
      <c r="Y47" s="9"/>
    </row>
    <row r="48" spans="1:26" hidden="1">
      <c r="R48" s="34" t="s">
        <v>164</v>
      </c>
      <c r="S48" s="6" t="e">
        <f>S47-#REF!</f>
        <v>#REF!</v>
      </c>
      <c r="T48" t="s">
        <v>795</v>
      </c>
    </row>
    <row r="49" spans="7:27" hidden="1"/>
    <row r="52" spans="7:27">
      <c r="S52" s="1"/>
    </row>
    <row r="53" spans="7:27">
      <c r="X53">
        <v>5380</v>
      </c>
      <c r="Y53">
        <v>500</v>
      </c>
      <c r="Z53" s="8">
        <f>Y53*X53</f>
        <v>2690000</v>
      </c>
    </row>
    <row r="54" spans="7:27">
      <c r="X54">
        <v>6188</v>
      </c>
      <c r="Y54">
        <v>500</v>
      </c>
      <c r="Z54" s="8">
        <f>Y54*X54</f>
        <v>3094000</v>
      </c>
    </row>
    <row r="55" spans="7:27">
      <c r="Z55" s="8">
        <f>Z54-Z53</f>
        <v>404000</v>
      </c>
      <c r="AA55" s="8">
        <f>Z55*3</f>
        <v>1212000</v>
      </c>
    </row>
    <row r="57" spans="7:27"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7:27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7:27"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V59" s="8"/>
    </row>
    <row r="60" spans="7:27">
      <c r="R60" s="8"/>
    </row>
    <row r="61" spans="7:27">
      <c r="S61" s="8"/>
    </row>
    <row r="62" spans="7:27">
      <c r="O62" s="8"/>
      <c r="S62" s="8"/>
    </row>
    <row r="63" spans="7:27">
      <c r="O63" s="3"/>
      <c r="S63" s="8"/>
    </row>
    <row r="65" spans="15:18">
      <c r="O65" s="8"/>
    </row>
    <row r="69" spans="15:18">
      <c r="O69" s="8"/>
      <c r="R69" s="8"/>
    </row>
  </sheetData>
  <phoneticPr fontId="6"/>
  <hyperlinks>
    <hyperlink ref="A2" r:id="rId1" display="https://slack.com/intl/ja-jp/pricing" xr:uid="{F1AD2817-0F7E-4F90-920E-50A1FDD1954A}"/>
  </hyperlinks>
  <pageMargins left="0.7" right="0.7" top="0.75" bottom="0.75" header="0.3" footer="0.3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8791-AB2C-4337-B5AC-681F730C8C93}">
  <sheetPr>
    <tabColor rgb="FFFFC000"/>
  </sheetPr>
  <dimension ref="A2:AA66"/>
  <sheetViews>
    <sheetView zoomScale="70" zoomScaleNormal="70" workbookViewId="0">
      <selection activeCell="K20" sqref="K20"/>
    </sheetView>
  </sheetViews>
  <sheetFormatPr defaultRowHeight="18"/>
  <cols>
    <col min="2" max="2" width="24.5" bestFit="1" customWidth="1"/>
    <col min="3" max="3" width="15.25" customWidth="1"/>
    <col min="4" max="5" width="24.5" customWidth="1"/>
    <col min="6" max="6" width="8.625" customWidth="1"/>
    <col min="7" max="8" width="10.5" bestFit="1" customWidth="1"/>
    <col min="9" max="9" width="14.375" customWidth="1"/>
    <col min="10" max="13" width="10.5" bestFit="1" customWidth="1"/>
    <col min="14" max="14" width="10.625" customWidth="1"/>
    <col min="15" max="18" width="10.5" bestFit="1" customWidth="1"/>
    <col min="19" max="19" width="14.375" customWidth="1"/>
    <col min="20" max="21" width="10.5" bestFit="1" customWidth="1"/>
    <col min="22" max="22" width="12.25" bestFit="1" customWidth="1"/>
    <col min="23" max="23" width="11.875" bestFit="1" customWidth="1"/>
    <col min="25" max="25" width="11.875" bestFit="1" customWidth="1"/>
    <col min="26" max="26" width="12.25" bestFit="1" customWidth="1"/>
    <col min="27" max="27" width="10.875" customWidth="1"/>
  </cols>
  <sheetData>
    <row r="2" spans="1:14">
      <c r="A2" s="114" t="s">
        <v>813</v>
      </c>
      <c r="I2" s="372"/>
    </row>
    <row r="5" spans="1:14">
      <c r="I5" s="330" t="s">
        <v>799</v>
      </c>
      <c r="J5" s="25"/>
      <c r="K5" s="25"/>
      <c r="L5" s="25"/>
      <c r="N5" s="374"/>
    </row>
    <row r="6" spans="1:14">
      <c r="I6" s="329" t="s">
        <v>811</v>
      </c>
      <c r="J6" s="25"/>
      <c r="K6" s="25"/>
      <c r="L6" s="25"/>
      <c r="N6" s="375"/>
    </row>
    <row r="7" spans="1:14">
      <c r="I7" s="329"/>
      <c r="J7" s="25"/>
      <c r="K7" s="25"/>
      <c r="L7" s="25"/>
      <c r="N7" s="375"/>
    </row>
    <row r="8" spans="1:14">
      <c r="I8" s="25"/>
      <c r="J8" s="25"/>
      <c r="K8" s="25"/>
      <c r="L8" s="25"/>
    </row>
    <row r="9" spans="1:14">
      <c r="I9" s="25"/>
      <c r="J9" s="25"/>
      <c r="K9" s="25"/>
      <c r="L9" s="25"/>
    </row>
    <row r="23" spans="1:26" hidden="1">
      <c r="A23">
        <v>2024</v>
      </c>
      <c r="F23" s="2"/>
      <c r="G23" s="2" t="s">
        <v>127</v>
      </c>
      <c r="H23" s="2" t="s">
        <v>128</v>
      </c>
      <c r="I23" s="2" t="s">
        <v>129</v>
      </c>
      <c r="J23" s="2" t="s">
        <v>130</v>
      </c>
      <c r="K23" s="2" t="s">
        <v>131</v>
      </c>
      <c r="L23" s="2" t="s">
        <v>132</v>
      </c>
      <c r="M23" s="2" t="s">
        <v>133</v>
      </c>
      <c r="N23" s="2" t="s">
        <v>134</v>
      </c>
      <c r="O23" s="2" t="s">
        <v>135</v>
      </c>
      <c r="P23" s="2" t="s">
        <v>136</v>
      </c>
      <c r="Q23" s="2" t="s">
        <v>137</v>
      </c>
      <c r="R23" s="2" t="s">
        <v>138</v>
      </c>
      <c r="S23" s="11"/>
    </row>
    <row r="24" spans="1:26" hidden="1">
      <c r="B24" t="s">
        <v>153</v>
      </c>
      <c r="F24" s="2"/>
      <c r="G24" s="2">
        <v>40</v>
      </c>
      <c r="H24" s="2">
        <v>40</v>
      </c>
      <c r="I24" s="2">
        <v>40</v>
      </c>
      <c r="J24" s="2">
        <v>45</v>
      </c>
      <c r="K24" s="2">
        <v>45</v>
      </c>
      <c r="L24" s="2">
        <v>45</v>
      </c>
      <c r="M24" s="2">
        <v>45</v>
      </c>
      <c r="N24" s="2">
        <v>45</v>
      </c>
      <c r="O24" s="2">
        <v>45</v>
      </c>
      <c r="P24" s="2">
        <v>45</v>
      </c>
      <c r="Q24" s="2">
        <v>45</v>
      </c>
      <c r="R24" s="2">
        <v>45</v>
      </c>
      <c r="S24" s="2"/>
    </row>
    <row r="25" spans="1:26" hidden="1">
      <c r="B25" t="s">
        <v>792</v>
      </c>
      <c r="F25" s="2">
        <v>6188</v>
      </c>
      <c r="G25" s="2">
        <f>$F$43*G$42</f>
        <v>247520</v>
      </c>
      <c r="H25" s="2">
        <f t="shared" ref="H25:R25" si="0">$F$43*H$42</f>
        <v>247520</v>
      </c>
      <c r="I25" s="2">
        <f t="shared" si="0"/>
        <v>247520</v>
      </c>
      <c r="J25" s="2">
        <f t="shared" si="0"/>
        <v>278460</v>
      </c>
      <c r="K25" s="2">
        <f t="shared" si="0"/>
        <v>278460</v>
      </c>
      <c r="L25" s="2">
        <f t="shared" si="0"/>
        <v>278460</v>
      </c>
      <c r="M25" s="2">
        <f t="shared" si="0"/>
        <v>278460</v>
      </c>
      <c r="N25" s="2">
        <f t="shared" si="0"/>
        <v>278460</v>
      </c>
      <c r="O25" s="2">
        <f t="shared" si="0"/>
        <v>278460</v>
      </c>
      <c r="P25" s="2">
        <f t="shared" si="0"/>
        <v>278460</v>
      </c>
      <c r="Q25" s="2">
        <f t="shared" si="0"/>
        <v>278460</v>
      </c>
      <c r="R25" s="2">
        <f t="shared" si="0"/>
        <v>278460</v>
      </c>
      <c r="S25" s="2">
        <f>SUM(G25:R25)</f>
        <v>3248700</v>
      </c>
      <c r="W25" s="9">
        <v>13794000</v>
      </c>
      <c r="X25">
        <v>1200000</v>
      </c>
      <c r="Y25" s="1">
        <f>SUM(W25:X25)</f>
        <v>14994000</v>
      </c>
      <c r="Z25" s="3">
        <f>S26-Y25</f>
        <v>-11745300</v>
      </c>
    </row>
    <row r="26" spans="1:26" hidden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6">
        <f>SUM(S25:S25)</f>
        <v>3248700</v>
      </c>
      <c r="T26" t="s">
        <v>794</v>
      </c>
      <c r="Y26" s="9"/>
    </row>
    <row r="27" spans="1:26" hidden="1">
      <c r="R27" s="34" t="s">
        <v>164</v>
      </c>
      <c r="S27" s="6" t="e">
        <f>S26-#REF!</f>
        <v>#REF!</v>
      </c>
      <c r="T27" t="s">
        <v>795</v>
      </c>
    </row>
    <row r="28" spans="1:26" hidden="1"/>
    <row r="31" spans="1:26">
      <c r="C31" t="s">
        <v>814</v>
      </c>
    </row>
    <row r="32" spans="1:26">
      <c r="C32" t="s">
        <v>126</v>
      </c>
      <c r="D32" t="s">
        <v>153</v>
      </c>
      <c r="E32" t="s">
        <v>126</v>
      </c>
    </row>
    <row r="33" spans="1:26">
      <c r="C33">
        <v>1600</v>
      </c>
      <c r="D33">
        <v>20</v>
      </c>
      <c r="E33" s="2">
        <f>C33*D33</f>
        <v>32000</v>
      </c>
    </row>
    <row r="35" spans="1:26"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370"/>
      <c r="M35" s="370"/>
      <c r="N35" s="262"/>
    </row>
    <row r="36" spans="1:26">
      <c r="A36" t="s">
        <v>123</v>
      </c>
    </row>
    <row r="37" spans="1:26">
      <c r="A37" t="s">
        <v>815</v>
      </c>
      <c r="F37" t="s">
        <v>127</v>
      </c>
      <c r="G37" t="s">
        <v>159</v>
      </c>
      <c r="H37" t="s">
        <v>129</v>
      </c>
      <c r="I37" t="s">
        <v>130</v>
      </c>
      <c r="J37" t="s">
        <v>131</v>
      </c>
      <c r="K37" t="s">
        <v>132</v>
      </c>
      <c r="L37" t="s">
        <v>133</v>
      </c>
      <c r="M37" t="s">
        <v>134</v>
      </c>
      <c r="N37" t="s">
        <v>135</v>
      </c>
      <c r="O37" t="s">
        <v>136</v>
      </c>
      <c r="P37" t="s">
        <v>137</v>
      </c>
      <c r="Q37" t="s">
        <v>138</v>
      </c>
    </row>
    <row r="38" spans="1:26">
      <c r="D38" s="25" t="s">
        <v>140</v>
      </c>
      <c r="E38" s="25"/>
      <c r="F38" s="26">
        <f>$E$33</f>
        <v>32000</v>
      </c>
      <c r="G38" s="26">
        <f t="shared" ref="G38:Q38" si="1">$E$33</f>
        <v>32000</v>
      </c>
      <c r="H38" s="26">
        <f t="shared" si="1"/>
        <v>32000</v>
      </c>
      <c r="I38" s="26">
        <f t="shared" si="1"/>
        <v>32000</v>
      </c>
      <c r="J38" s="26">
        <f t="shared" si="1"/>
        <v>32000</v>
      </c>
      <c r="K38" s="26">
        <f t="shared" si="1"/>
        <v>32000</v>
      </c>
      <c r="L38" s="26">
        <f t="shared" si="1"/>
        <v>32000</v>
      </c>
      <c r="M38" s="26">
        <f t="shared" si="1"/>
        <v>32000</v>
      </c>
      <c r="N38" s="26">
        <f t="shared" si="1"/>
        <v>32000</v>
      </c>
      <c r="O38" s="26">
        <f t="shared" si="1"/>
        <v>32000</v>
      </c>
      <c r="P38" s="26">
        <f t="shared" si="1"/>
        <v>32000</v>
      </c>
      <c r="Q38" s="26">
        <f t="shared" si="1"/>
        <v>32000</v>
      </c>
      <c r="R38" s="2">
        <f>SUM(F38:Q38)</f>
        <v>384000</v>
      </c>
    </row>
    <row r="39" spans="1:26">
      <c r="D39" t="s">
        <v>141</v>
      </c>
      <c r="M39" s="2"/>
      <c r="N39" s="2"/>
      <c r="O39" s="2"/>
      <c r="P39" s="2"/>
      <c r="Q39" s="2"/>
      <c r="R39" s="2">
        <f>SUM(F39:Q39)</f>
        <v>0</v>
      </c>
    </row>
    <row r="40" spans="1:26">
      <c r="S40" s="3"/>
      <c r="U40" s="11"/>
      <c r="V40" s="3"/>
    </row>
    <row r="41" spans="1:26" hidden="1">
      <c r="A41">
        <v>2024</v>
      </c>
      <c r="F41" s="2"/>
      <c r="G41" s="2" t="s">
        <v>127</v>
      </c>
      <c r="H41" s="2" t="s">
        <v>128</v>
      </c>
      <c r="I41" s="2" t="s">
        <v>129</v>
      </c>
      <c r="J41" s="2" t="s">
        <v>130</v>
      </c>
      <c r="K41" s="2" t="s">
        <v>131</v>
      </c>
      <c r="L41" s="2" t="s">
        <v>132</v>
      </c>
      <c r="M41" s="2" t="s">
        <v>133</v>
      </c>
      <c r="N41" s="2" t="s">
        <v>134</v>
      </c>
      <c r="O41" s="2" t="s">
        <v>135</v>
      </c>
      <c r="P41" s="2" t="s">
        <v>136</v>
      </c>
      <c r="Q41" s="2" t="s">
        <v>137</v>
      </c>
      <c r="R41" s="2" t="s">
        <v>138</v>
      </c>
      <c r="S41" s="11"/>
    </row>
    <row r="42" spans="1:26" hidden="1">
      <c r="B42" t="s">
        <v>153</v>
      </c>
      <c r="F42" s="2"/>
      <c r="G42" s="2">
        <v>40</v>
      </c>
      <c r="H42" s="2">
        <v>40</v>
      </c>
      <c r="I42" s="2">
        <v>40</v>
      </c>
      <c r="J42" s="2">
        <v>45</v>
      </c>
      <c r="K42" s="2">
        <v>45</v>
      </c>
      <c r="L42" s="2">
        <v>45</v>
      </c>
      <c r="M42" s="2">
        <v>45</v>
      </c>
      <c r="N42" s="2">
        <v>45</v>
      </c>
      <c r="O42" s="2">
        <v>45</v>
      </c>
      <c r="P42" s="2">
        <v>45</v>
      </c>
      <c r="Q42" s="2">
        <v>45</v>
      </c>
      <c r="R42" s="2">
        <v>45</v>
      </c>
      <c r="S42" s="2"/>
    </row>
    <row r="43" spans="1:26" hidden="1">
      <c r="B43" t="s">
        <v>792</v>
      </c>
      <c r="F43" s="2">
        <v>6188</v>
      </c>
      <c r="G43" s="2">
        <f>$F$43*G$42</f>
        <v>247520</v>
      </c>
      <c r="H43" s="2">
        <f t="shared" ref="H43:R43" si="2">$F$43*H$42</f>
        <v>247520</v>
      </c>
      <c r="I43" s="2">
        <f t="shared" si="2"/>
        <v>247520</v>
      </c>
      <c r="J43" s="2">
        <f t="shared" si="2"/>
        <v>278460</v>
      </c>
      <c r="K43" s="2">
        <f t="shared" si="2"/>
        <v>278460</v>
      </c>
      <c r="L43" s="2">
        <f t="shared" si="2"/>
        <v>278460</v>
      </c>
      <c r="M43" s="2">
        <f t="shared" si="2"/>
        <v>278460</v>
      </c>
      <c r="N43" s="2">
        <f t="shared" si="2"/>
        <v>278460</v>
      </c>
      <c r="O43" s="2">
        <f t="shared" si="2"/>
        <v>278460</v>
      </c>
      <c r="P43" s="2">
        <f t="shared" si="2"/>
        <v>278460</v>
      </c>
      <c r="Q43" s="2">
        <f t="shared" si="2"/>
        <v>278460</v>
      </c>
      <c r="R43" s="2">
        <f t="shared" si="2"/>
        <v>278460</v>
      </c>
      <c r="S43" s="2">
        <f>SUM(G43:R43)</f>
        <v>3248700</v>
      </c>
      <c r="W43" s="9">
        <v>13794000</v>
      </c>
      <c r="X43">
        <v>1200000</v>
      </c>
      <c r="Y43" s="1">
        <f>SUM(W43:X43)</f>
        <v>14994000</v>
      </c>
      <c r="Z43" s="3">
        <f>S44-Y43</f>
        <v>-11745300</v>
      </c>
    </row>
    <row r="44" spans="1:26" hidden="1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6">
        <f>SUM(S43:S43)</f>
        <v>3248700</v>
      </c>
      <c r="T44" t="s">
        <v>794</v>
      </c>
      <c r="Y44" s="9"/>
    </row>
    <row r="45" spans="1:26" hidden="1">
      <c r="R45" s="34" t="s">
        <v>164</v>
      </c>
      <c r="S45" s="6" t="e">
        <f>S44-#REF!</f>
        <v>#REF!</v>
      </c>
      <c r="T45" t="s">
        <v>795</v>
      </c>
    </row>
    <row r="46" spans="1:26" hidden="1"/>
    <row r="49" spans="7:27">
      <c r="S49" s="1"/>
    </row>
    <row r="50" spans="7:27">
      <c r="X50">
        <v>5380</v>
      </c>
      <c r="Y50">
        <v>500</v>
      </c>
      <c r="Z50" s="8">
        <f>Y50*X50</f>
        <v>2690000</v>
      </c>
    </row>
    <row r="51" spans="7:27">
      <c r="X51">
        <v>6188</v>
      </c>
      <c r="Y51">
        <v>500</v>
      </c>
      <c r="Z51" s="8">
        <f>Y51*X51</f>
        <v>3094000</v>
      </c>
    </row>
    <row r="52" spans="7:27">
      <c r="Z52" s="8">
        <f>Z51-Z50</f>
        <v>404000</v>
      </c>
      <c r="AA52" s="8">
        <f>Z52*3</f>
        <v>1212000</v>
      </c>
    </row>
    <row r="54" spans="7:27"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7:27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7:27"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V56" s="8"/>
    </row>
    <row r="57" spans="7:27">
      <c r="R57" s="8"/>
    </row>
    <row r="58" spans="7:27">
      <c r="S58" s="8"/>
    </row>
    <row r="59" spans="7:27">
      <c r="O59" s="8"/>
      <c r="S59" s="8"/>
    </row>
    <row r="60" spans="7:27">
      <c r="O60" s="3"/>
      <c r="S60" s="8"/>
    </row>
    <row r="62" spans="7:27">
      <c r="O62" s="8"/>
    </row>
    <row r="66" spans="15:18">
      <c r="O66" s="8"/>
      <c r="R66" s="8"/>
    </row>
  </sheetData>
  <phoneticPr fontId="6"/>
  <hyperlinks>
    <hyperlink ref="A2" r:id="rId1" display="https://workspace.google.com/intl/ja/lp/business/?utm_source=Bing&amp;utm_medium=cpc&amp;utm_campaign=1710070-Workspace-DR-APAC-JP-ja-Bing-BKWS-EXA-Hybrid-HV&amp;utm_content=c-Hybrid+%7C+BKWS+-+EXA+%7C+Txt-Workspace-N/A-973786760522&amp;utm_term=google%20workspace%20%E6%96%99%E9%87%91&amp;gclid=4285ae39178411ccd4b2c726d8ff3525&amp;gclsrc=3p.ds&amp;" xr:uid="{1ECFF166-B52D-4B71-97B6-9E268C2432AE}"/>
  </hyperlinks>
  <pageMargins left="0.7" right="0.7" top="0.75" bottom="0.75" header="0.3" footer="0.3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5C5E-A319-4ED4-AE8E-83B90E536E36}">
  <sheetPr>
    <tabColor rgb="FFFFC000"/>
  </sheetPr>
  <dimension ref="A2:AA66"/>
  <sheetViews>
    <sheetView topLeftCell="A4" zoomScale="85" zoomScaleNormal="85" workbookViewId="0">
      <selection activeCell="K20" sqref="K20"/>
    </sheetView>
  </sheetViews>
  <sheetFormatPr defaultRowHeight="18"/>
  <cols>
    <col min="2" max="2" width="24.5" bestFit="1" customWidth="1"/>
    <col min="3" max="3" width="15.25" customWidth="1"/>
    <col min="4" max="5" width="24.5" customWidth="1"/>
    <col min="6" max="6" width="8.625" customWidth="1"/>
    <col min="7" max="8" width="10.5" bestFit="1" customWidth="1"/>
    <col min="9" max="9" width="14.375" customWidth="1"/>
    <col min="10" max="13" width="10.5" bestFit="1" customWidth="1"/>
    <col min="14" max="14" width="10.625" customWidth="1"/>
    <col min="15" max="18" width="10.5" bestFit="1" customWidth="1"/>
    <col min="19" max="19" width="14.375" customWidth="1"/>
    <col min="20" max="21" width="10.5" bestFit="1" customWidth="1"/>
    <col min="22" max="22" width="12.25" bestFit="1" customWidth="1"/>
    <col min="23" max="23" width="11.875" bestFit="1" customWidth="1"/>
    <col min="25" max="25" width="11.875" bestFit="1" customWidth="1"/>
    <col min="26" max="26" width="12.25" bestFit="1" customWidth="1"/>
    <col min="27" max="27" width="10.875" customWidth="1"/>
  </cols>
  <sheetData>
    <row r="2" spans="1:14">
      <c r="A2" s="114"/>
      <c r="I2" s="372"/>
    </row>
    <row r="5" spans="1:14">
      <c r="I5" s="330" t="s">
        <v>799</v>
      </c>
      <c r="J5" s="25"/>
      <c r="K5" s="25"/>
      <c r="L5" s="25"/>
      <c r="N5" s="374"/>
    </row>
    <row r="6" spans="1:14">
      <c r="I6" s="329" t="s">
        <v>811</v>
      </c>
      <c r="J6" s="25"/>
      <c r="K6" s="25"/>
      <c r="L6" s="25"/>
      <c r="N6" s="375"/>
    </row>
    <row r="7" spans="1:14">
      <c r="I7" s="329"/>
      <c r="J7" s="25"/>
      <c r="K7" s="25"/>
      <c r="L7" s="25"/>
      <c r="N7" s="375"/>
    </row>
    <row r="8" spans="1:14">
      <c r="I8" s="25"/>
      <c r="J8" s="25"/>
      <c r="K8" s="25"/>
      <c r="L8" s="25"/>
    </row>
    <row r="9" spans="1:14">
      <c r="I9" s="25"/>
      <c r="J9" s="25"/>
      <c r="K9" s="25"/>
      <c r="L9" s="25"/>
    </row>
    <row r="23" spans="1:26" hidden="1">
      <c r="A23">
        <v>2024</v>
      </c>
      <c r="F23" s="2"/>
      <c r="G23" s="2" t="s">
        <v>127</v>
      </c>
      <c r="H23" s="2" t="s">
        <v>128</v>
      </c>
      <c r="I23" s="2" t="s">
        <v>129</v>
      </c>
      <c r="J23" s="2" t="s">
        <v>130</v>
      </c>
      <c r="K23" s="2" t="s">
        <v>131</v>
      </c>
      <c r="L23" s="2" t="s">
        <v>132</v>
      </c>
      <c r="M23" s="2" t="s">
        <v>133</v>
      </c>
      <c r="N23" s="2" t="s">
        <v>134</v>
      </c>
      <c r="O23" s="2" t="s">
        <v>135</v>
      </c>
      <c r="P23" s="2" t="s">
        <v>136</v>
      </c>
      <c r="Q23" s="2" t="s">
        <v>137</v>
      </c>
      <c r="R23" s="2" t="s">
        <v>138</v>
      </c>
      <c r="S23" s="11"/>
    </row>
    <row r="24" spans="1:26" hidden="1">
      <c r="B24" t="s">
        <v>153</v>
      </c>
      <c r="F24" s="2"/>
      <c r="G24" s="2">
        <v>40</v>
      </c>
      <c r="H24" s="2">
        <v>40</v>
      </c>
      <c r="I24" s="2">
        <v>40</v>
      </c>
      <c r="J24" s="2">
        <v>45</v>
      </c>
      <c r="K24" s="2">
        <v>45</v>
      </c>
      <c r="L24" s="2">
        <v>45</v>
      </c>
      <c r="M24" s="2">
        <v>45</v>
      </c>
      <c r="N24" s="2">
        <v>45</v>
      </c>
      <c r="O24" s="2">
        <v>45</v>
      </c>
      <c r="P24" s="2">
        <v>45</v>
      </c>
      <c r="Q24" s="2">
        <v>45</v>
      </c>
      <c r="R24" s="2">
        <v>45</v>
      </c>
      <c r="S24" s="2"/>
    </row>
    <row r="25" spans="1:26" hidden="1">
      <c r="B25" t="s">
        <v>792</v>
      </c>
      <c r="F25" s="2">
        <v>6188</v>
      </c>
      <c r="G25" s="2">
        <f>$F$43*G$42</f>
        <v>247520</v>
      </c>
      <c r="H25" s="2">
        <f t="shared" ref="H25:R25" si="0">$F$43*H$42</f>
        <v>247520</v>
      </c>
      <c r="I25" s="2">
        <f t="shared" si="0"/>
        <v>247520</v>
      </c>
      <c r="J25" s="2">
        <f t="shared" si="0"/>
        <v>278460</v>
      </c>
      <c r="K25" s="2">
        <f t="shared" si="0"/>
        <v>278460</v>
      </c>
      <c r="L25" s="2">
        <f t="shared" si="0"/>
        <v>278460</v>
      </c>
      <c r="M25" s="2">
        <f t="shared" si="0"/>
        <v>278460</v>
      </c>
      <c r="N25" s="2">
        <f t="shared" si="0"/>
        <v>278460</v>
      </c>
      <c r="O25" s="2">
        <f t="shared" si="0"/>
        <v>278460</v>
      </c>
      <c r="P25" s="2">
        <f t="shared" si="0"/>
        <v>278460</v>
      </c>
      <c r="Q25" s="2">
        <f t="shared" si="0"/>
        <v>278460</v>
      </c>
      <c r="R25" s="2">
        <f t="shared" si="0"/>
        <v>278460</v>
      </c>
      <c r="S25" s="2">
        <f>SUM(G25:R25)</f>
        <v>3248700</v>
      </c>
      <c r="W25" s="9">
        <v>13794000</v>
      </c>
      <c r="X25">
        <v>1200000</v>
      </c>
      <c r="Y25" s="1">
        <f>SUM(W25:X25)</f>
        <v>14994000</v>
      </c>
      <c r="Z25" s="3">
        <f>S26-Y25</f>
        <v>-11745300</v>
      </c>
    </row>
    <row r="26" spans="1:26" hidden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6">
        <f>SUM(S25:S25)</f>
        <v>3248700</v>
      </c>
      <c r="T26" t="s">
        <v>794</v>
      </c>
      <c r="Y26" s="9"/>
    </row>
    <row r="27" spans="1:26" hidden="1">
      <c r="R27" s="34" t="s">
        <v>164</v>
      </c>
      <c r="S27" s="6" t="e">
        <f>S26-#REF!</f>
        <v>#REF!</v>
      </c>
      <c r="T27" t="s">
        <v>795</v>
      </c>
    </row>
    <row r="28" spans="1:26" hidden="1"/>
    <row r="31" spans="1:26">
      <c r="C31" t="s">
        <v>814</v>
      </c>
    </row>
    <row r="32" spans="1:26">
      <c r="C32" t="s">
        <v>126</v>
      </c>
      <c r="D32" t="s">
        <v>153</v>
      </c>
      <c r="E32" t="s">
        <v>126</v>
      </c>
    </row>
    <row r="33" spans="1:26">
      <c r="C33">
        <v>1600</v>
      </c>
      <c r="D33">
        <v>10</v>
      </c>
      <c r="E33" s="2">
        <f>C33*D33</f>
        <v>16000</v>
      </c>
    </row>
    <row r="35" spans="1:26"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370"/>
      <c r="M35" s="370"/>
      <c r="N35" s="262"/>
    </row>
    <row r="36" spans="1:26">
      <c r="A36" t="s">
        <v>123</v>
      </c>
    </row>
    <row r="37" spans="1:26">
      <c r="A37" t="s">
        <v>815</v>
      </c>
      <c r="F37" t="s">
        <v>127</v>
      </c>
      <c r="G37" t="s">
        <v>159</v>
      </c>
      <c r="H37" t="s">
        <v>129</v>
      </c>
      <c r="I37" t="s">
        <v>130</v>
      </c>
      <c r="J37" t="s">
        <v>131</v>
      </c>
      <c r="K37" t="s">
        <v>132</v>
      </c>
      <c r="L37" t="s">
        <v>133</v>
      </c>
      <c r="M37" t="s">
        <v>134</v>
      </c>
      <c r="N37" t="s">
        <v>135</v>
      </c>
      <c r="O37" t="s">
        <v>136</v>
      </c>
      <c r="P37" t="s">
        <v>137</v>
      </c>
      <c r="Q37" t="s">
        <v>138</v>
      </c>
    </row>
    <row r="38" spans="1:26">
      <c r="D38" s="25" t="s">
        <v>140</v>
      </c>
      <c r="E38" s="25"/>
      <c r="F38" s="26">
        <f>$E$33</f>
        <v>16000</v>
      </c>
      <c r="G38" s="26">
        <f t="shared" ref="G38:Q38" si="1">$E$33</f>
        <v>16000</v>
      </c>
      <c r="H38" s="26">
        <f t="shared" si="1"/>
        <v>16000</v>
      </c>
      <c r="I38" s="26">
        <f t="shared" si="1"/>
        <v>16000</v>
      </c>
      <c r="J38" s="26">
        <f t="shared" si="1"/>
        <v>16000</v>
      </c>
      <c r="K38" s="26">
        <f t="shared" si="1"/>
        <v>16000</v>
      </c>
      <c r="L38" s="26">
        <f t="shared" si="1"/>
        <v>16000</v>
      </c>
      <c r="M38" s="26">
        <f t="shared" si="1"/>
        <v>16000</v>
      </c>
      <c r="N38" s="26">
        <f t="shared" si="1"/>
        <v>16000</v>
      </c>
      <c r="O38" s="26">
        <f t="shared" si="1"/>
        <v>16000</v>
      </c>
      <c r="P38" s="26">
        <f t="shared" si="1"/>
        <v>16000</v>
      </c>
      <c r="Q38" s="26">
        <f t="shared" si="1"/>
        <v>16000</v>
      </c>
      <c r="R38" s="2">
        <f>SUM(F38:Q38)</f>
        <v>192000</v>
      </c>
    </row>
    <row r="39" spans="1:26">
      <c r="D39" t="s">
        <v>141</v>
      </c>
      <c r="M39" s="2"/>
      <c r="N39" s="2"/>
      <c r="O39" s="2"/>
      <c r="P39" s="2"/>
      <c r="Q39" s="2"/>
      <c r="R39" s="2">
        <f>SUM(F39:Q39)</f>
        <v>0</v>
      </c>
    </row>
    <row r="40" spans="1:26">
      <c r="S40" s="3"/>
      <c r="U40" s="11"/>
      <c r="V40" s="3"/>
    </row>
    <row r="41" spans="1:26" hidden="1">
      <c r="A41">
        <v>2024</v>
      </c>
      <c r="F41" s="2"/>
      <c r="G41" s="2" t="s">
        <v>127</v>
      </c>
      <c r="H41" s="2" t="s">
        <v>128</v>
      </c>
      <c r="I41" s="2" t="s">
        <v>129</v>
      </c>
      <c r="J41" s="2" t="s">
        <v>130</v>
      </c>
      <c r="K41" s="2" t="s">
        <v>131</v>
      </c>
      <c r="L41" s="2" t="s">
        <v>132</v>
      </c>
      <c r="M41" s="2" t="s">
        <v>133</v>
      </c>
      <c r="N41" s="2" t="s">
        <v>134</v>
      </c>
      <c r="O41" s="2" t="s">
        <v>135</v>
      </c>
      <c r="P41" s="2" t="s">
        <v>136</v>
      </c>
      <c r="Q41" s="2" t="s">
        <v>137</v>
      </c>
      <c r="R41" s="2" t="s">
        <v>138</v>
      </c>
      <c r="S41" s="11"/>
    </row>
    <row r="42" spans="1:26" hidden="1">
      <c r="B42" t="s">
        <v>153</v>
      </c>
      <c r="F42" s="2"/>
      <c r="G42" s="2">
        <v>40</v>
      </c>
      <c r="H42" s="2">
        <v>40</v>
      </c>
      <c r="I42" s="2">
        <v>40</v>
      </c>
      <c r="J42" s="2">
        <v>45</v>
      </c>
      <c r="K42" s="2">
        <v>45</v>
      </c>
      <c r="L42" s="2">
        <v>45</v>
      </c>
      <c r="M42" s="2">
        <v>45</v>
      </c>
      <c r="N42" s="2">
        <v>45</v>
      </c>
      <c r="O42" s="2">
        <v>45</v>
      </c>
      <c r="P42" s="2">
        <v>45</v>
      </c>
      <c r="Q42" s="2">
        <v>45</v>
      </c>
      <c r="R42" s="2">
        <v>45</v>
      </c>
      <c r="S42" s="2"/>
    </row>
    <row r="43" spans="1:26" hidden="1">
      <c r="B43" t="s">
        <v>792</v>
      </c>
      <c r="F43" s="2">
        <v>6188</v>
      </c>
      <c r="G43" s="2">
        <f>$F$43*G$42</f>
        <v>247520</v>
      </c>
      <c r="H43" s="2">
        <f t="shared" ref="H43:R43" si="2">$F$43*H$42</f>
        <v>247520</v>
      </c>
      <c r="I43" s="2">
        <f t="shared" si="2"/>
        <v>247520</v>
      </c>
      <c r="J43" s="2">
        <f t="shared" si="2"/>
        <v>278460</v>
      </c>
      <c r="K43" s="2">
        <f t="shared" si="2"/>
        <v>278460</v>
      </c>
      <c r="L43" s="2">
        <f t="shared" si="2"/>
        <v>278460</v>
      </c>
      <c r="M43" s="2">
        <f t="shared" si="2"/>
        <v>278460</v>
      </c>
      <c r="N43" s="2">
        <f t="shared" si="2"/>
        <v>278460</v>
      </c>
      <c r="O43" s="2">
        <f t="shared" si="2"/>
        <v>278460</v>
      </c>
      <c r="P43" s="2">
        <f t="shared" si="2"/>
        <v>278460</v>
      </c>
      <c r="Q43" s="2">
        <f t="shared" si="2"/>
        <v>278460</v>
      </c>
      <c r="R43" s="2">
        <f t="shared" si="2"/>
        <v>278460</v>
      </c>
      <c r="S43" s="2">
        <f>SUM(G43:R43)</f>
        <v>3248700</v>
      </c>
      <c r="W43" s="9">
        <v>13794000</v>
      </c>
      <c r="X43">
        <v>1200000</v>
      </c>
      <c r="Y43" s="1">
        <f>SUM(W43:X43)</f>
        <v>14994000</v>
      </c>
      <c r="Z43" s="3">
        <f>S44-Y43</f>
        <v>-11745300</v>
      </c>
    </row>
    <row r="44" spans="1:26" hidden="1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6">
        <f>SUM(S43:S43)</f>
        <v>3248700</v>
      </c>
      <c r="T44" t="s">
        <v>794</v>
      </c>
      <c r="Y44" s="9"/>
    </row>
    <row r="45" spans="1:26" hidden="1">
      <c r="R45" s="34" t="s">
        <v>164</v>
      </c>
      <c r="S45" s="6" t="e">
        <f>S44-#REF!</f>
        <v>#REF!</v>
      </c>
      <c r="T45" t="s">
        <v>795</v>
      </c>
    </row>
    <row r="46" spans="1:26" hidden="1"/>
    <row r="49" spans="7:27">
      <c r="S49" s="1"/>
    </row>
    <row r="50" spans="7:27">
      <c r="X50">
        <v>5380</v>
      </c>
      <c r="Y50">
        <v>500</v>
      </c>
      <c r="Z50" s="8">
        <f>Y50*X50</f>
        <v>2690000</v>
      </c>
    </row>
    <row r="51" spans="7:27">
      <c r="X51">
        <v>6188</v>
      </c>
      <c r="Y51">
        <v>500</v>
      </c>
      <c r="Z51" s="8">
        <f>Y51*X51</f>
        <v>3094000</v>
      </c>
    </row>
    <row r="52" spans="7:27">
      <c r="Z52" s="8">
        <f>Z51-Z50</f>
        <v>404000</v>
      </c>
      <c r="AA52" s="8">
        <f>Z52*3</f>
        <v>1212000</v>
      </c>
    </row>
    <row r="54" spans="7:27"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7:27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7:27"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V56" s="8"/>
    </row>
    <row r="57" spans="7:27">
      <c r="R57" s="8"/>
    </row>
    <row r="58" spans="7:27">
      <c r="S58" s="8"/>
    </row>
    <row r="59" spans="7:27">
      <c r="O59" s="8"/>
      <c r="S59" s="8"/>
    </row>
    <row r="60" spans="7:27">
      <c r="O60" s="3"/>
      <c r="S60" s="8"/>
    </row>
    <row r="62" spans="7:27">
      <c r="O62" s="8"/>
    </row>
    <row r="66" spans="15:18">
      <c r="O66" s="8"/>
      <c r="R66" s="8"/>
    </row>
  </sheetData>
  <phoneticPr fontId="6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2641-EC57-4B05-926A-4B6DC3097316}">
  <sheetPr>
    <tabColor rgb="FFFFC000"/>
  </sheetPr>
  <dimension ref="A2:Z75"/>
  <sheetViews>
    <sheetView topLeftCell="A43" zoomScale="70" zoomScaleNormal="70" workbookViewId="0">
      <selection activeCell="K20" sqref="K20"/>
    </sheetView>
  </sheetViews>
  <sheetFormatPr defaultColWidth="8.75" defaultRowHeight="18"/>
  <cols>
    <col min="1" max="1" width="11" style="138" bestFit="1" customWidth="1"/>
    <col min="2" max="2" width="27.125" style="138" bestFit="1" customWidth="1"/>
    <col min="3" max="3" width="14.875" style="138" bestFit="1" customWidth="1"/>
    <col min="4" max="4" width="7.125" style="138" bestFit="1" customWidth="1"/>
    <col min="5" max="5" width="10.875" style="138" bestFit="1" customWidth="1"/>
    <col min="6" max="6" width="21.125" style="138" bestFit="1" customWidth="1"/>
    <col min="7" max="7" width="19.375" style="138" bestFit="1" customWidth="1"/>
    <col min="8" max="8" width="5.375" style="138" bestFit="1" customWidth="1"/>
    <col min="9" max="16384" width="8.75" style="138"/>
  </cols>
  <sheetData>
    <row r="2" spans="1:26">
      <c r="A2" s="323" t="s">
        <v>816</v>
      </c>
      <c r="J2" s="138" t="s">
        <v>817</v>
      </c>
    </row>
    <row r="3" spans="1:26">
      <c r="B3" s="319" t="s">
        <v>818</v>
      </c>
      <c r="C3" s="319" t="s">
        <v>819</v>
      </c>
      <c r="D3"/>
      <c r="E3"/>
      <c r="F3"/>
      <c r="G3"/>
      <c r="H3"/>
    </row>
    <row r="4" spans="1:26">
      <c r="B4" s="319" t="s">
        <v>820</v>
      </c>
      <c r="C4" t="s">
        <v>821</v>
      </c>
      <c r="D4" t="s">
        <v>822</v>
      </c>
      <c r="E4" t="s">
        <v>823</v>
      </c>
      <c r="F4" t="s">
        <v>824</v>
      </c>
      <c r="G4" t="s">
        <v>825</v>
      </c>
      <c r="H4" t="s">
        <v>826</v>
      </c>
    </row>
    <row r="5" spans="1:26">
      <c r="B5" s="253" t="s">
        <v>827</v>
      </c>
      <c r="C5" s="25">
        <v>1</v>
      </c>
      <c r="D5" s="25">
        <v>97</v>
      </c>
      <c r="E5">
        <v>35</v>
      </c>
      <c r="F5">
        <v>1</v>
      </c>
      <c r="G5" s="25">
        <v>1</v>
      </c>
      <c r="H5">
        <v>135</v>
      </c>
      <c r="J5" s="323" t="s">
        <v>828</v>
      </c>
      <c r="K5" s="138">
        <v>100</v>
      </c>
      <c r="N5" s="323" t="s">
        <v>829</v>
      </c>
    </row>
    <row r="6" spans="1:26">
      <c r="B6" s="320" t="s">
        <v>130</v>
      </c>
      <c r="C6"/>
      <c r="D6">
        <v>22</v>
      </c>
      <c r="E6">
        <v>8</v>
      </c>
      <c r="F6"/>
      <c r="G6"/>
      <c r="H6">
        <v>30</v>
      </c>
    </row>
    <row r="7" spans="1:26">
      <c r="B7" s="321">
        <v>46141.625</v>
      </c>
      <c r="C7"/>
      <c r="D7">
        <v>22</v>
      </c>
      <c r="E7">
        <v>8</v>
      </c>
      <c r="F7"/>
      <c r="G7"/>
      <c r="H7">
        <v>30</v>
      </c>
      <c r="N7" s="323" t="s">
        <v>768</v>
      </c>
      <c r="O7" s="323" t="s">
        <v>246</v>
      </c>
      <c r="P7" s="323" t="s">
        <v>830</v>
      </c>
    </row>
    <row r="8" spans="1:26">
      <c r="B8" s="322" t="s">
        <v>209</v>
      </c>
      <c r="C8"/>
      <c r="D8">
        <v>22</v>
      </c>
      <c r="E8">
        <v>8</v>
      </c>
      <c r="F8"/>
      <c r="G8"/>
      <c r="H8">
        <v>30</v>
      </c>
      <c r="J8" s="323" t="s">
        <v>831</v>
      </c>
      <c r="N8" s="324">
        <v>100</v>
      </c>
      <c r="O8" s="324">
        <v>7000</v>
      </c>
      <c r="P8" s="138">
        <f>O8*N8</f>
        <v>700000</v>
      </c>
    </row>
    <row r="9" spans="1:26">
      <c r="B9" s="320" t="s">
        <v>131</v>
      </c>
      <c r="C9"/>
      <c r="D9">
        <v>18</v>
      </c>
      <c r="E9">
        <v>6</v>
      </c>
      <c r="F9"/>
      <c r="G9">
        <v>1</v>
      </c>
      <c r="H9">
        <v>25</v>
      </c>
      <c r="N9" s="324" t="s">
        <v>830</v>
      </c>
      <c r="O9" s="324"/>
    </row>
    <row r="10" spans="1:26">
      <c r="B10" s="321">
        <v>46171.625</v>
      </c>
      <c r="C10"/>
      <c r="D10">
        <v>18</v>
      </c>
      <c r="E10">
        <v>6</v>
      </c>
      <c r="F10"/>
      <c r="G10">
        <v>1</v>
      </c>
      <c r="H10">
        <v>25</v>
      </c>
      <c r="N10" s="324"/>
      <c r="O10" s="324">
        <v>10000</v>
      </c>
      <c r="P10" s="138">
        <v>10000</v>
      </c>
    </row>
    <row r="11" spans="1:26">
      <c r="B11" s="322" t="s">
        <v>209</v>
      </c>
      <c r="C11"/>
      <c r="D11">
        <v>18</v>
      </c>
      <c r="E11">
        <v>6</v>
      </c>
      <c r="F11"/>
      <c r="G11">
        <v>1</v>
      </c>
      <c r="H11">
        <v>25</v>
      </c>
      <c r="N11" s="323" t="s">
        <v>139</v>
      </c>
      <c r="P11" s="324">
        <f>SUM(P8:P10)</f>
        <v>710000</v>
      </c>
      <c r="Q11" s="324">
        <f>P11/7</f>
        <v>101428.57142857143</v>
      </c>
    </row>
    <row r="12" spans="1:26">
      <c r="B12" s="320" t="s">
        <v>132</v>
      </c>
      <c r="C12"/>
      <c r="D12">
        <v>38</v>
      </c>
      <c r="E12">
        <v>11</v>
      </c>
      <c r="F12">
        <v>1</v>
      </c>
      <c r="G12"/>
      <c r="H12">
        <v>50</v>
      </c>
    </row>
    <row r="13" spans="1:26">
      <c r="B13" s="321">
        <v>46202.625</v>
      </c>
      <c r="C13"/>
      <c r="D13">
        <v>38</v>
      </c>
      <c r="E13">
        <v>11</v>
      </c>
      <c r="F13">
        <v>1</v>
      </c>
      <c r="G13"/>
      <c r="H13">
        <v>50</v>
      </c>
      <c r="O13" s="323" t="s">
        <v>832</v>
      </c>
      <c r="Q13" s="325" t="s">
        <v>833</v>
      </c>
      <c r="R13" s="325" t="s">
        <v>833</v>
      </c>
      <c r="S13" s="325" t="s">
        <v>833</v>
      </c>
      <c r="V13" s="325" t="s">
        <v>833</v>
      </c>
    </row>
    <row r="14" spans="1:26">
      <c r="B14" s="322" t="s">
        <v>209</v>
      </c>
      <c r="C14"/>
      <c r="D14">
        <v>38</v>
      </c>
      <c r="E14">
        <v>11</v>
      </c>
      <c r="F14">
        <v>1</v>
      </c>
      <c r="G14"/>
      <c r="H14">
        <v>50</v>
      </c>
      <c r="N14" s="323" t="s">
        <v>127</v>
      </c>
      <c r="O14" s="323" t="s">
        <v>834</v>
      </c>
      <c r="P14" s="323" t="s">
        <v>129</v>
      </c>
      <c r="Q14" s="325" t="s">
        <v>130</v>
      </c>
      <c r="R14" s="325" t="s">
        <v>131</v>
      </c>
      <c r="S14" s="325" t="s">
        <v>132</v>
      </c>
      <c r="T14" s="323" t="s">
        <v>133</v>
      </c>
      <c r="U14" s="323" t="s">
        <v>134</v>
      </c>
      <c r="V14" s="325" t="s">
        <v>135</v>
      </c>
      <c r="W14" s="323" t="s">
        <v>136</v>
      </c>
      <c r="X14" s="323" t="s">
        <v>137</v>
      </c>
      <c r="Y14" s="323" t="s">
        <v>138</v>
      </c>
    </row>
    <row r="15" spans="1:26">
      <c r="B15" s="320" t="s">
        <v>135</v>
      </c>
      <c r="C15">
        <v>1</v>
      </c>
      <c r="D15">
        <v>19</v>
      </c>
      <c r="E15">
        <v>10</v>
      </c>
      <c r="F15"/>
      <c r="G15"/>
      <c r="H15">
        <v>30</v>
      </c>
      <c r="M15" s="323" t="s">
        <v>140</v>
      </c>
      <c r="N15" s="326"/>
      <c r="O15" s="386">
        <v>101500</v>
      </c>
      <c r="P15" s="386">
        <v>101500</v>
      </c>
      <c r="Q15" s="386">
        <v>101500</v>
      </c>
      <c r="R15" s="386">
        <v>101500</v>
      </c>
      <c r="S15" s="386">
        <v>101500</v>
      </c>
      <c r="T15" s="386">
        <v>101500</v>
      </c>
      <c r="U15" s="386">
        <v>101500</v>
      </c>
      <c r="V15" s="326"/>
      <c r="W15" s="326"/>
      <c r="X15" s="326"/>
      <c r="Y15" s="326"/>
      <c r="Z15" s="386">
        <f>SUM(N15:Y15)</f>
        <v>710500</v>
      </c>
    </row>
    <row r="16" spans="1:26">
      <c r="B16" s="321">
        <v>46294.625</v>
      </c>
      <c r="C16">
        <v>1</v>
      </c>
      <c r="D16">
        <v>19</v>
      </c>
      <c r="E16">
        <v>10</v>
      </c>
      <c r="F16"/>
      <c r="G16"/>
      <c r="H16">
        <v>30</v>
      </c>
    </row>
    <row r="17" spans="1:16">
      <c r="B17" s="322" t="s">
        <v>209</v>
      </c>
      <c r="C17">
        <v>1</v>
      </c>
      <c r="D17">
        <v>19</v>
      </c>
      <c r="E17">
        <v>10</v>
      </c>
      <c r="F17"/>
      <c r="G17"/>
      <c r="H17">
        <v>30</v>
      </c>
    </row>
    <row r="18" spans="1:16">
      <c r="B18" s="253" t="s">
        <v>826</v>
      </c>
      <c r="C18">
        <v>1</v>
      </c>
      <c r="D18">
        <v>97</v>
      </c>
      <c r="E18">
        <v>35</v>
      </c>
      <c r="F18">
        <v>1</v>
      </c>
      <c r="G18">
        <v>1</v>
      </c>
      <c r="H18">
        <v>135</v>
      </c>
    </row>
    <row r="19" spans="1:16">
      <c r="C19" s="318"/>
    </row>
    <row r="20" spans="1:16">
      <c r="C20" s="318"/>
    </row>
    <row r="24" spans="1:16">
      <c r="A24" s="139" t="s">
        <v>112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</row>
    <row r="25" spans="1:16">
      <c r="A25" s="139" t="s">
        <v>835</v>
      </c>
      <c r="B25" s="139"/>
      <c r="C25" s="424" t="s">
        <v>836</v>
      </c>
      <c r="D25" s="424"/>
      <c r="E25" s="424"/>
      <c r="F25" s="424"/>
      <c r="G25" s="424"/>
      <c r="H25" s="424"/>
      <c r="I25" s="424"/>
      <c r="J25" s="424" t="s">
        <v>837</v>
      </c>
      <c r="K25" s="424"/>
      <c r="L25" s="424" t="s">
        <v>122</v>
      </c>
      <c r="M25" s="424"/>
      <c r="N25" s="424"/>
    </row>
    <row r="26" spans="1:16">
      <c r="A26" s="139"/>
      <c r="B26" s="139" t="s">
        <v>838</v>
      </c>
      <c r="C26" s="416">
        <v>7500</v>
      </c>
      <c r="D26" s="416"/>
      <c r="E26" s="416"/>
      <c r="F26" s="416"/>
      <c r="G26" s="416"/>
      <c r="H26" s="416"/>
      <c r="I26" s="416"/>
      <c r="J26" s="417">
        <v>235</v>
      </c>
      <c r="K26" s="417"/>
      <c r="L26" s="416">
        <f>C26*J26</f>
        <v>1762500</v>
      </c>
      <c r="M26" s="416"/>
      <c r="N26" s="416"/>
      <c r="O26" s="138" t="s">
        <v>839</v>
      </c>
    </row>
    <row r="27" spans="1:16">
      <c r="A27" s="139"/>
      <c r="B27" s="139" t="s">
        <v>840</v>
      </c>
      <c r="C27" s="416">
        <v>100000</v>
      </c>
      <c r="D27" s="416"/>
      <c r="E27" s="416"/>
      <c r="F27" s="416"/>
      <c r="G27" s="416"/>
      <c r="H27" s="416"/>
      <c r="I27" s="416"/>
      <c r="J27" s="417">
        <v>1</v>
      </c>
      <c r="K27" s="417"/>
      <c r="L27" s="416">
        <f>C27*J27</f>
        <v>100000</v>
      </c>
      <c r="M27" s="416"/>
      <c r="N27" s="416"/>
    </row>
    <row r="28" spans="1:16" ht="18.600000000000001" thickBot="1">
      <c r="A28" s="139"/>
      <c r="B28" s="139"/>
      <c r="C28" s="140"/>
      <c r="D28" s="140"/>
      <c r="E28" s="140"/>
      <c r="F28" s="140"/>
      <c r="G28" s="140"/>
      <c r="H28" s="140"/>
      <c r="I28" s="140"/>
      <c r="J28" s="141"/>
      <c r="K28" s="141"/>
      <c r="L28" s="416">
        <f>SUM(L26:N27)</f>
        <v>1862500</v>
      </c>
      <c r="M28" s="416"/>
      <c r="N28" s="416"/>
    </row>
    <row r="29" spans="1:16" ht="18.95" thickTop="1" thickBot="1">
      <c r="A29" s="139"/>
      <c r="B29" s="139"/>
      <c r="C29" s="140"/>
      <c r="D29" s="140"/>
      <c r="E29" s="140"/>
      <c r="F29" s="181" t="s">
        <v>835</v>
      </c>
      <c r="G29" s="140"/>
      <c r="H29" s="140"/>
      <c r="I29" s="142" t="s">
        <v>639</v>
      </c>
      <c r="J29" s="142"/>
      <c r="K29" s="142"/>
      <c r="L29" s="421">
        <v>2000000</v>
      </c>
      <c r="M29" s="422"/>
      <c r="N29" s="423"/>
      <c r="O29" s="138">
        <f>L29/12</f>
        <v>166666.66666666666</v>
      </c>
      <c r="P29" s="138">
        <v>170000</v>
      </c>
    </row>
    <row r="30" spans="1:16" ht="18.600000000000001" thickTop="1">
      <c r="A30" s="139"/>
      <c r="B30" s="139"/>
      <c r="C30" s="140"/>
      <c r="D30" s="140"/>
      <c r="E30" s="140"/>
      <c r="G30" s="140"/>
      <c r="H30" s="143"/>
      <c r="I30" s="139"/>
      <c r="J30" s="139"/>
      <c r="K30" s="139"/>
      <c r="L30" s="144"/>
      <c r="M30" s="141"/>
      <c r="N30" s="141"/>
    </row>
    <row r="31" spans="1:16">
      <c r="A31" s="139" t="s">
        <v>841</v>
      </c>
      <c r="B31" s="139"/>
      <c r="C31" s="140"/>
      <c r="D31" s="140"/>
      <c r="E31" s="140"/>
      <c r="F31" s="140"/>
      <c r="G31" s="140"/>
      <c r="H31" s="140"/>
      <c r="I31" s="140"/>
      <c r="J31" s="141"/>
      <c r="K31" s="141"/>
      <c r="L31" s="140"/>
      <c r="M31" s="140"/>
      <c r="N31" s="140"/>
    </row>
    <row r="32" spans="1:16">
      <c r="A32" s="139"/>
      <c r="B32" s="139" t="s">
        <v>117</v>
      </c>
      <c r="C32" s="416">
        <v>5500</v>
      </c>
      <c r="D32" s="416"/>
      <c r="E32" s="416"/>
      <c r="F32" s="416"/>
      <c r="G32" s="416"/>
      <c r="H32" s="416"/>
      <c r="I32" s="416"/>
      <c r="J32" s="417">
        <v>235</v>
      </c>
      <c r="K32" s="417"/>
      <c r="L32" s="416">
        <f t="shared" ref="L32" si="0">C32*J32</f>
        <v>1292500</v>
      </c>
      <c r="M32" s="416"/>
      <c r="N32" s="416"/>
      <c r="O32" s="138" t="s">
        <v>842</v>
      </c>
    </row>
    <row r="33" spans="1:16">
      <c r="A33" s="139"/>
      <c r="B33" s="139" t="s">
        <v>843</v>
      </c>
      <c r="C33" s="416">
        <v>1300</v>
      </c>
      <c r="D33" s="416"/>
      <c r="E33" s="416"/>
      <c r="F33" s="416"/>
      <c r="G33" s="416"/>
      <c r="H33" s="416"/>
      <c r="I33" s="416"/>
      <c r="J33" s="417">
        <v>0</v>
      </c>
      <c r="K33" s="417"/>
      <c r="L33" s="416">
        <f>C33*J33</f>
        <v>0</v>
      </c>
      <c r="M33" s="416"/>
      <c r="N33" s="416"/>
    </row>
    <row r="34" spans="1:16">
      <c r="A34" s="139"/>
      <c r="B34" s="139" t="s">
        <v>844</v>
      </c>
      <c r="C34" s="416"/>
      <c r="D34" s="416"/>
      <c r="E34" s="416"/>
      <c r="F34" s="416"/>
      <c r="G34" s="416"/>
      <c r="H34" s="416"/>
      <c r="I34" s="416"/>
      <c r="J34" s="417"/>
      <c r="K34" s="417"/>
      <c r="L34" s="416">
        <f>C34*J34</f>
        <v>0</v>
      </c>
      <c r="M34" s="416"/>
      <c r="N34" s="416"/>
    </row>
    <row r="35" spans="1:16" ht="18.600000000000001" thickBot="1">
      <c r="A35" s="139"/>
      <c r="B35" s="139" t="s">
        <v>845</v>
      </c>
      <c r="C35" s="416"/>
      <c r="D35" s="416"/>
      <c r="E35" s="416"/>
      <c r="F35" s="416"/>
      <c r="G35" s="416"/>
      <c r="H35" s="416"/>
      <c r="I35" s="416"/>
      <c r="J35" s="417"/>
      <c r="K35" s="417"/>
      <c r="L35" s="416">
        <v>100000</v>
      </c>
      <c r="M35" s="416"/>
      <c r="N35" s="416"/>
    </row>
    <row r="36" spans="1:16" ht="18.95" thickTop="1" thickBot="1">
      <c r="A36" s="139"/>
      <c r="B36" s="139"/>
      <c r="C36" s="140"/>
      <c r="D36" s="140"/>
      <c r="E36" s="140"/>
      <c r="F36" s="140"/>
      <c r="G36" s="140"/>
      <c r="H36" s="140"/>
      <c r="I36" s="139"/>
      <c r="J36" s="139"/>
      <c r="K36" s="139"/>
      <c r="L36" s="418">
        <f>SUM(L32:N35)</f>
        <v>1392500</v>
      </c>
      <c r="M36" s="419"/>
      <c r="N36" s="420"/>
    </row>
    <row r="37" spans="1:16" ht="18.95" thickTop="1" thickBot="1">
      <c r="A37" s="139"/>
      <c r="B37" s="139"/>
      <c r="C37" s="140"/>
      <c r="D37" s="140"/>
      <c r="E37" s="140"/>
      <c r="F37" s="181" t="s">
        <v>846</v>
      </c>
      <c r="G37" s="140"/>
      <c r="H37" s="140"/>
      <c r="I37" s="142" t="s">
        <v>639</v>
      </c>
      <c r="J37" s="142"/>
      <c r="K37" s="142"/>
      <c r="L37" s="421">
        <v>1400000</v>
      </c>
      <c r="M37" s="422"/>
      <c r="N37" s="423"/>
      <c r="O37" s="138">
        <f>L37/12</f>
        <v>116666.66666666667</v>
      </c>
      <c r="P37" s="387">
        <v>120000</v>
      </c>
    </row>
    <row r="38" spans="1:16" ht="18.600000000000001" thickTop="1">
      <c r="A38" s="139"/>
      <c r="B38" s="139"/>
      <c r="C38" s="140"/>
      <c r="D38" s="140"/>
      <c r="E38" s="140"/>
      <c r="F38" s="140"/>
      <c r="G38" s="140"/>
      <c r="H38" s="140"/>
      <c r="I38" s="140"/>
      <c r="J38" s="141"/>
      <c r="K38" s="141"/>
      <c r="L38" s="140"/>
      <c r="M38" s="140"/>
      <c r="N38" s="140"/>
    </row>
    <row r="39" spans="1:16">
      <c r="A39" s="139" t="s">
        <v>847</v>
      </c>
      <c r="B39" s="139"/>
      <c r="C39" s="140"/>
      <c r="D39" s="140"/>
      <c r="E39" s="140"/>
      <c r="F39" s="140"/>
      <c r="G39" s="140"/>
      <c r="H39" s="140"/>
      <c r="I39" s="140"/>
      <c r="J39" s="141"/>
      <c r="K39" s="141"/>
      <c r="L39" s="140"/>
      <c r="M39" s="140"/>
      <c r="N39" s="140"/>
    </row>
    <row r="40" spans="1:16">
      <c r="A40" s="139"/>
      <c r="B40" s="139" t="s">
        <v>848</v>
      </c>
      <c r="C40" s="416">
        <f>3340*5</f>
        <v>16700</v>
      </c>
      <c r="D40" s="416"/>
      <c r="E40" s="416"/>
      <c r="F40" s="416"/>
      <c r="G40" s="416"/>
      <c r="H40" s="416"/>
      <c r="I40" s="416"/>
      <c r="J40" s="417">
        <v>20</v>
      </c>
      <c r="K40" s="417"/>
      <c r="L40" s="416">
        <f t="shared" ref="L40:L43" si="1">C40*J40</f>
        <v>334000</v>
      </c>
      <c r="M40" s="416"/>
      <c r="N40" s="416"/>
    </row>
    <row r="41" spans="1:16">
      <c r="A41" s="139"/>
      <c r="B41" s="139"/>
      <c r="C41" s="416"/>
      <c r="D41" s="416"/>
      <c r="E41" s="416"/>
      <c r="F41" s="416"/>
      <c r="G41" s="416"/>
      <c r="H41" s="416"/>
      <c r="I41" s="416"/>
      <c r="J41" s="417"/>
      <c r="K41" s="417"/>
      <c r="L41" s="416">
        <f t="shared" si="1"/>
        <v>0</v>
      </c>
      <c r="M41" s="416"/>
      <c r="N41" s="416"/>
    </row>
    <row r="42" spans="1:16">
      <c r="A42" s="139"/>
      <c r="B42" s="139"/>
      <c r="C42" s="416"/>
      <c r="D42" s="416"/>
      <c r="E42" s="416"/>
      <c r="F42" s="416"/>
      <c r="G42" s="416"/>
      <c r="H42" s="416"/>
      <c r="I42" s="416"/>
      <c r="J42" s="417"/>
      <c r="K42" s="417"/>
      <c r="L42" s="416">
        <f t="shared" si="1"/>
        <v>0</v>
      </c>
      <c r="M42" s="416"/>
      <c r="N42" s="416"/>
    </row>
    <row r="43" spans="1:16" ht="18.600000000000001" thickBot="1">
      <c r="A43" s="139"/>
      <c r="B43" s="139"/>
      <c r="C43" s="416"/>
      <c r="D43" s="416"/>
      <c r="E43" s="416"/>
      <c r="F43" s="416"/>
      <c r="G43" s="416"/>
      <c r="H43" s="416"/>
      <c r="I43" s="416"/>
      <c r="J43" s="417"/>
      <c r="K43" s="417"/>
      <c r="L43" s="416">
        <f t="shared" si="1"/>
        <v>0</v>
      </c>
      <c r="M43" s="416"/>
      <c r="N43" s="416"/>
    </row>
    <row r="44" spans="1:16" ht="18.95" thickTop="1" thickBo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418">
        <f>SUM(L40:N43)</f>
        <v>334000</v>
      </c>
      <c r="M44" s="419"/>
      <c r="N44" s="420"/>
    </row>
    <row r="45" spans="1:16" ht="18.95" thickTop="1" thickBot="1">
      <c r="A45" s="139"/>
      <c r="B45" s="139"/>
      <c r="C45" s="139"/>
      <c r="D45" s="139"/>
      <c r="E45" s="139"/>
      <c r="F45" s="139"/>
      <c r="G45" s="139"/>
      <c r="H45" s="139"/>
      <c r="I45" s="142" t="s">
        <v>528</v>
      </c>
      <c r="J45" s="142"/>
      <c r="K45" s="142"/>
      <c r="L45" s="421">
        <v>350000</v>
      </c>
      <c r="M45" s="422"/>
      <c r="N45" s="423"/>
      <c r="O45" s="387">
        <v>50000</v>
      </c>
      <c r="P45" s="387">
        <v>600000</v>
      </c>
    </row>
    <row r="46" spans="1:16" ht="18.600000000000001" thickTop="1"/>
    <row r="48" spans="1:16">
      <c r="C48" s="138" t="s">
        <v>849</v>
      </c>
      <c r="E48" s="175">
        <v>6000000</v>
      </c>
      <c r="F48" s="138">
        <f>E48/12</f>
        <v>500000</v>
      </c>
    </row>
    <row r="51" spans="1:16">
      <c r="A51" s="204" t="s">
        <v>112</v>
      </c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</row>
    <row r="52" spans="1:16">
      <c r="A52" s="204" t="s">
        <v>835</v>
      </c>
      <c r="B52" s="204"/>
      <c r="C52" s="425" t="s">
        <v>836</v>
      </c>
      <c r="D52" s="425"/>
      <c r="E52" s="425"/>
      <c r="F52" s="425"/>
      <c r="G52" s="425"/>
      <c r="H52" s="425"/>
      <c r="I52" s="425"/>
      <c r="J52" s="425" t="s">
        <v>837</v>
      </c>
      <c r="K52" s="425"/>
      <c r="L52" s="425" t="s">
        <v>122</v>
      </c>
      <c r="M52" s="425"/>
      <c r="N52" s="425"/>
    </row>
    <row r="53" spans="1:16">
      <c r="A53" s="204"/>
      <c r="B53" s="204" t="s">
        <v>838</v>
      </c>
      <c r="C53" s="416">
        <v>7500</v>
      </c>
      <c r="D53" s="416"/>
      <c r="E53" s="416"/>
      <c r="F53" s="416"/>
      <c r="G53" s="416"/>
      <c r="H53" s="416"/>
      <c r="I53" s="416"/>
      <c r="J53" s="426">
        <v>160</v>
      </c>
      <c r="K53" s="426"/>
      <c r="L53" s="416">
        <f>C53*J53</f>
        <v>1200000</v>
      </c>
      <c r="M53" s="416"/>
      <c r="N53" s="416"/>
      <c r="O53" s="138" t="s">
        <v>839</v>
      </c>
    </row>
    <row r="54" spans="1:16">
      <c r="A54" s="204"/>
      <c r="B54" s="204" t="s">
        <v>840</v>
      </c>
      <c r="C54" s="416">
        <v>100000</v>
      </c>
      <c r="D54" s="416"/>
      <c r="E54" s="416"/>
      <c r="F54" s="416"/>
      <c r="G54" s="416"/>
      <c r="H54" s="416"/>
      <c r="I54" s="416"/>
      <c r="J54" s="426">
        <v>1</v>
      </c>
      <c r="K54" s="426"/>
      <c r="L54" s="416">
        <f>C54*J54</f>
        <v>100000</v>
      </c>
      <c r="M54" s="416"/>
      <c r="N54" s="416"/>
    </row>
    <row r="55" spans="1:16" ht="18.600000000000001" thickBot="1">
      <c r="A55" s="204"/>
      <c r="B55" s="204"/>
      <c r="C55" s="140"/>
      <c r="D55" s="140"/>
      <c r="E55" s="140"/>
      <c r="F55" s="140"/>
      <c r="G55" s="140"/>
      <c r="H55" s="140"/>
      <c r="I55" s="140"/>
      <c r="J55" s="205"/>
      <c r="K55" s="205"/>
      <c r="L55" s="416">
        <f>SUM(L53:N54)</f>
        <v>1300000</v>
      </c>
      <c r="M55" s="416"/>
      <c r="N55" s="416"/>
    </row>
    <row r="56" spans="1:16" ht="18.95" thickTop="1" thickBot="1">
      <c r="A56" s="204"/>
      <c r="B56" s="204"/>
      <c r="C56" s="140"/>
      <c r="D56" s="140"/>
      <c r="E56" s="140"/>
      <c r="F56" s="181" t="s">
        <v>835</v>
      </c>
      <c r="G56" s="140"/>
      <c r="H56" s="140"/>
      <c r="I56" s="206" t="s">
        <v>639</v>
      </c>
      <c r="J56" s="206"/>
      <c r="K56" s="206"/>
      <c r="L56" s="427">
        <v>1200000</v>
      </c>
      <c r="M56" s="428"/>
      <c r="N56" s="429"/>
      <c r="O56" s="138">
        <f>L56/12</f>
        <v>100000</v>
      </c>
      <c r="P56" s="138">
        <v>170000</v>
      </c>
    </row>
    <row r="57" spans="1:16" ht="18.600000000000001" thickTop="1">
      <c r="A57" s="204"/>
      <c r="B57" s="204"/>
      <c r="C57" s="140"/>
      <c r="D57" s="140"/>
      <c r="E57" s="140"/>
      <c r="G57" s="140"/>
      <c r="H57" s="140"/>
      <c r="I57" s="204"/>
      <c r="J57" s="204"/>
      <c r="K57" s="204"/>
      <c r="L57" s="207"/>
      <c r="M57" s="205"/>
      <c r="N57" s="205"/>
    </row>
    <row r="58" spans="1:16">
      <c r="A58" s="204" t="s">
        <v>841</v>
      </c>
      <c r="B58" s="204"/>
      <c r="C58" s="140"/>
      <c r="D58" s="140"/>
      <c r="E58" s="140"/>
      <c r="F58" s="140"/>
      <c r="G58" s="140"/>
      <c r="H58" s="140"/>
      <c r="I58" s="140"/>
      <c r="J58" s="205"/>
      <c r="K58" s="205"/>
      <c r="L58" s="140"/>
      <c r="M58" s="140"/>
      <c r="N58" s="140"/>
    </row>
    <row r="59" spans="1:16">
      <c r="A59" s="204"/>
      <c r="B59" s="204" t="s">
        <v>117</v>
      </c>
      <c r="C59" s="416">
        <v>5500</v>
      </c>
      <c r="D59" s="416"/>
      <c r="E59" s="416"/>
      <c r="F59" s="416"/>
      <c r="G59" s="416"/>
      <c r="H59" s="416"/>
      <c r="I59" s="416"/>
      <c r="J59" s="426">
        <v>235</v>
      </c>
      <c r="K59" s="426"/>
      <c r="L59" s="416">
        <f>C59*J59</f>
        <v>1292500</v>
      </c>
      <c r="M59" s="416"/>
      <c r="N59" s="416"/>
      <c r="O59" s="138" t="s">
        <v>842</v>
      </c>
    </row>
    <row r="60" spans="1:16">
      <c r="A60" s="204"/>
      <c r="B60" s="204" t="s">
        <v>843</v>
      </c>
      <c r="C60" s="416">
        <v>1300</v>
      </c>
      <c r="D60" s="416"/>
      <c r="E60" s="416"/>
      <c r="F60" s="416"/>
      <c r="G60" s="416"/>
      <c r="H60" s="416"/>
      <c r="I60" s="416"/>
      <c r="J60" s="426">
        <v>0</v>
      </c>
      <c r="K60" s="426"/>
      <c r="L60" s="416">
        <f>C60*J60</f>
        <v>0</v>
      </c>
      <c r="M60" s="416"/>
      <c r="N60" s="416"/>
    </row>
    <row r="61" spans="1:16">
      <c r="A61" s="204"/>
      <c r="B61" s="204" t="s">
        <v>844</v>
      </c>
      <c r="C61" s="416"/>
      <c r="D61" s="416"/>
      <c r="E61" s="416"/>
      <c r="F61" s="416"/>
      <c r="G61" s="416"/>
      <c r="H61" s="416"/>
      <c r="I61" s="416"/>
      <c r="J61" s="426"/>
      <c r="K61" s="426"/>
      <c r="L61" s="416">
        <f>C61*J61</f>
        <v>0</v>
      </c>
      <c r="M61" s="416"/>
      <c r="N61" s="416"/>
    </row>
    <row r="62" spans="1:16" ht="18.600000000000001" thickBot="1">
      <c r="A62" s="204"/>
      <c r="B62" s="204" t="s">
        <v>845</v>
      </c>
      <c r="C62" s="416"/>
      <c r="D62" s="416"/>
      <c r="E62" s="416"/>
      <c r="F62" s="416"/>
      <c r="G62" s="416"/>
      <c r="H62" s="416"/>
      <c r="I62" s="416"/>
      <c r="J62" s="426"/>
      <c r="K62" s="426"/>
      <c r="L62" s="416">
        <v>100000</v>
      </c>
      <c r="M62" s="416"/>
      <c r="N62" s="416"/>
    </row>
    <row r="63" spans="1:16" ht="18.95" thickTop="1" thickBot="1">
      <c r="A63" s="204"/>
      <c r="B63" s="204"/>
      <c r="C63" s="140"/>
      <c r="D63" s="140"/>
      <c r="E63" s="140"/>
      <c r="F63" s="140"/>
      <c r="G63" s="140"/>
      <c r="H63" s="140"/>
      <c r="I63" s="204"/>
      <c r="J63" s="204"/>
      <c r="K63" s="204"/>
      <c r="L63" s="430">
        <f>SUM(L59:N62)</f>
        <v>1392500</v>
      </c>
      <c r="M63" s="431"/>
      <c r="N63" s="432"/>
    </row>
    <row r="64" spans="1:16" ht="18.95" thickTop="1" thickBot="1">
      <c r="A64" s="204"/>
      <c r="B64" s="204"/>
      <c r="C64" s="140"/>
      <c r="D64" s="140"/>
      <c r="E64" s="140"/>
      <c r="F64" s="181" t="s">
        <v>846</v>
      </c>
      <c r="G64" s="140"/>
      <c r="H64" s="140"/>
      <c r="I64" s="206" t="s">
        <v>639</v>
      </c>
      <c r="J64" s="206"/>
      <c r="K64" s="206"/>
      <c r="L64" s="427">
        <v>1400000</v>
      </c>
      <c r="M64" s="428"/>
      <c r="N64" s="429"/>
      <c r="O64" s="138">
        <f>L64/12</f>
        <v>116666.66666666667</v>
      </c>
      <c r="P64" s="200">
        <v>120000</v>
      </c>
    </row>
    <row r="65" spans="1:16" ht="18.600000000000001" thickTop="1">
      <c r="A65" s="204"/>
      <c r="B65" s="204"/>
      <c r="C65" s="140"/>
      <c r="D65" s="140"/>
      <c r="E65" s="140"/>
      <c r="F65" s="140"/>
      <c r="G65" s="140"/>
      <c r="H65" s="140"/>
      <c r="I65" s="140"/>
      <c r="J65" s="205"/>
      <c r="K65" s="205"/>
      <c r="L65" s="140"/>
      <c r="M65" s="140"/>
      <c r="N65" s="140"/>
    </row>
    <row r="66" spans="1:16">
      <c r="A66" s="204" t="s">
        <v>847</v>
      </c>
      <c r="B66" s="204"/>
      <c r="C66" s="140"/>
      <c r="D66" s="140"/>
      <c r="E66" s="140"/>
      <c r="F66" s="140"/>
      <c r="G66" s="140"/>
      <c r="H66" s="140"/>
      <c r="I66" s="140"/>
      <c r="J66" s="205"/>
      <c r="K66" s="205"/>
      <c r="L66" s="140"/>
      <c r="M66" s="140"/>
      <c r="N66" s="140"/>
    </row>
    <row r="67" spans="1:16">
      <c r="A67" s="204"/>
      <c r="B67" s="204" t="s">
        <v>848</v>
      </c>
      <c r="C67" s="416">
        <f>3340*5</f>
        <v>16700</v>
      </c>
      <c r="D67" s="416"/>
      <c r="E67" s="416"/>
      <c r="F67" s="416"/>
      <c r="G67" s="416"/>
      <c r="H67" s="416"/>
      <c r="I67" s="416"/>
      <c r="J67" s="426">
        <v>20</v>
      </c>
      <c r="K67" s="426"/>
      <c r="L67" s="416">
        <f>C67*J67</f>
        <v>334000</v>
      </c>
      <c r="M67" s="416"/>
      <c r="N67" s="416"/>
    </row>
    <row r="68" spans="1:16">
      <c r="A68" s="204"/>
      <c r="B68" s="204"/>
      <c r="C68" s="416"/>
      <c r="D68" s="416"/>
      <c r="E68" s="416"/>
      <c r="F68" s="416"/>
      <c r="G68" s="416"/>
      <c r="H68" s="416"/>
      <c r="I68" s="416"/>
      <c r="J68" s="426"/>
      <c r="K68" s="426"/>
      <c r="L68" s="416">
        <f>C68*J68</f>
        <v>0</v>
      </c>
      <c r="M68" s="416"/>
      <c r="N68" s="416"/>
    </row>
    <row r="69" spans="1:16">
      <c r="A69" s="204"/>
      <c r="B69" s="204"/>
      <c r="C69" s="416"/>
      <c r="D69" s="416"/>
      <c r="E69" s="416"/>
      <c r="F69" s="416"/>
      <c r="G69" s="416"/>
      <c r="H69" s="416"/>
      <c r="I69" s="416"/>
      <c r="J69" s="426"/>
      <c r="K69" s="426"/>
      <c r="L69" s="416">
        <f>C69*J69</f>
        <v>0</v>
      </c>
      <c r="M69" s="416"/>
      <c r="N69" s="416"/>
    </row>
    <row r="70" spans="1:16" ht="18.600000000000001" thickBot="1">
      <c r="A70" s="204"/>
      <c r="B70" s="204"/>
      <c r="C70" s="416"/>
      <c r="D70" s="416"/>
      <c r="E70" s="416"/>
      <c r="F70" s="416"/>
      <c r="G70" s="416"/>
      <c r="H70" s="416"/>
      <c r="I70" s="416"/>
      <c r="J70" s="426"/>
      <c r="K70" s="426"/>
      <c r="L70" s="416">
        <f>C70*J70</f>
        <v>0</v>
      </c>
      <c r="M70" s="416"/>
      <c r="N70" s="416"/>
    </row>
    <row r="71" spans="1:16" ht="18.95" thickTop="1" thickBot="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430">
        <f>SUM(L67:N70)</f>
        <v>334000</v>
      </c>
      <c r="M71" s="431"/>
      <c r="N71" s="432"/>
    </row>
    <row r="72" spans="1:16" ht="18.95" thickTop="1" thickBot="1">
      <c r="A72" s="204"/>
      <c r="B72" s="204"/>
      <c r="C72" s="204"/>
      <c r="D72" s="204"/>
      <c r="E72" s="204"/>
      <c r="F72" s="204"/>
      <c r="G72" s="204"/>
      <c r="H72" s="204"/>
      <c r="I72" s="206" t="s">
        <v>528</v>
      </c>
      <c r="J72" s="206"/>
      <c r="K72" s="206"/>
      <c r="L72" s="427">
        <v>350000</v>
      </c>
      <c r="M72" s="428"/>
      <c r="N72" s="429"/>
      <c r="O72" s="200">
        <v>50000</v>
      </c>
      <c r="P72" s="200">
        <v>600000</v>
      </c>
    </row>
    <row r="73" spans="1:16" ht="18.600000000000001" thickTop="1"/>
    <row r="74" spans="1:16">
      <c r="L74" s="208">
        <f>L56+L64+L72</f>
        <v>2950000</v>
      </c>
    </row>
    <row r="75" spans="1:16">
      <c r="C75" s="138" t="s">
        <v>849</v>
      </c>
      <c r="E75" s="175">
        <v>6000000</v>
      </c>
      <c r="F75" s="138">
        <f>E75/12</f>
        <v>500000</v>
      </c>
    </row>
  </sheetData>
  <mergeCells count="78">
    <mergeCell ref="C70:I70"/>
    <mergeCell ref="J70:K70"/>
    <mergeCell ref="L70:N70"/>
    <mergeCell ref="L71:N71"/>
    <mergeCell ref="L72:N72"/>
    <mergeCell ref="C68:I68"/>
    <mergeCell ref="J68:K68"/>
    <mergeCell ref="L68:N68"/>
    <mergeCell ref="C69:I69"/>
    <mergeCell ref="J69:K69"/>
    <mergeCell ref="L69:N69"/>
    <mergeCell ref="L63:N63"/>
    <mergeCell ref="L64:N64"/>
    <mergeCell ref="C67:I67"/>
    <mergeCell ref="J67:K67"/>
    <mergeCell ref="L67:N67"/>
    <mergeCell ref="C61:I61"/>
    <mergeCell ref="J61:K61"/>
    <mergeCell ref="L61:N61"/>
    <mergeCell ref="C62:I62"/>
    <mergeCell ref="J62:K62"/>
    <mergeCell ref="L62:N62"/>
    <mergeCell ref="C59:I59"/>
    <mergeCell ref="J59:K59"/>
    <mergeCell ref="L59:N59"/>
    <mergeCell ref="C60:I60"/>
    <mergeCell ref="J60:K60"/>
    <mergeCell ref="L60:N60"/>
    <mergeCell ref="C54:I54"/>
    <mergeCell ref="J54:K54"/>
    <mergeCell ref="L54:N54"/>
    <mergeCell ref="L55:N55"/>
    <mergeCell ref="L56:N56"/>
    <mergeCell ref="C52:I52"/>
    <mergeCell ref="J52:K52"/>
    <mergeCell ref="L52:N52"/>
    <mergeCell ref="C53:I53"/>
    <mergeCell ref="J53:K53"/>
    <mergeCell ref="L53:N53"/>
    <mergeCell ref="C32:I32"/>
    <mergeCell ref="J32:K32"/>
    <mergeCell ref="L32:N32"/>
    <mergeCell ref="C25:I25"/>
    <mergeCell ref="J25:K25"/>
    <mergeCell ref="L25:N25"/>
    <mergeCell ref="C26:I26"/>
    <mergeCell ref="J26:K26"/>
    <mergeCell ref="L26:N26"/>
    <mergeCell ref="C27:I27"/>
    <mergeCell ref="J27:K27"/>
    <mergeCell ref="L27:N27"/>
    <mergeCell ref="L28:N28"/>
    <mergeCell ref="L29:N29"/>
    <mergeCell ref="C40:I40"/>
    <mergeCell ref="J40:K40"/>
    <mergeCell ref="L40:N40"/>
    <mergeCell ref="C33:I33"/>
    <mergeCell ref="J33:K33"/>
    <mergeCell ref="L33:N33"/>
    <mergeCell ref="C34:I34"/>
    <mergeCell ref="J34:K34"/>
    <mergeCell ref="L34:N34"/>
    <mergeCell ref="C35:I35"/>
    <mergeCell ref="J35:K35"/>
    <mergeCell ref="L35:N35"/>
    <mergeCell ref="L36:N36"/>
    <mergeCell ref="L37:N37"/>
    <mergeCell ref="C41:I41"/>
    <mergeCell ref="J41:K41"/>
    <mergeCell ref="L41:N41"/>
    <mergeCell ref="C42:I42"/>
    <mergeCell ref="J42:K42"/>
    <mergeCell ref="L42:N42"/>
    <mergeCell ref="C43:I43"/>
    <mergeCell ref="J43:K43"/>
    <mergeCell ref="L43:N43"/>
    <mergeCell ref="L44:N44"/>
    <mergeCell ref="L45:N45"/>
  </mergeCells>
  <phoneticPr fontId="6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716C-0D15-4CE7-8A18-78A9F6666188}">
  <sheetPr>
    <tabColor rgb="FFFFC000"/>
  </sheetPr>
  <dimension ref="A1:V36"/>
  <sheetViews>
    <sheetView topLeftCell="F7" zoomScale="85" zoomScaleNormal="85" workbookViewId="0">
      <selection activeCell="K20" sqref="K20"/>
    </sheetView>
  </sheetViews>
  <sheetFormatPr defaultRowHeight="18"/>
  <cols>
    <col min="3" max="3" width="13" customWidth="1"/>
    <col min="4" max="4" width="13.25" bestFit="1" customWidth="1"/>
    <col min="5" max="5" width="12.875" bestFit="1" customWidth="1"/>
    <col min="6" max="6" width="15.625" bestFit="1" customWidth="1"/>
    <col min="7" max="7" width="12" bestFit="1" customWidth="1"/>
    <col min="8" max="8" width="13.125" bestFit="1" customWidth="1"/>
    <col min="9" max="9" width="12.875" bestFit="1" customWidth="1"/>
    <col min="10" max="13" width="10.5" bestFit="1" customWidth="1"/>
    <col min="14" max="14" width="14.375" customWidth="1"/>
    <col min="15" max="16" width="10.5" bestFit="1" customWidth="1"/>
    <col min="17" max="17" width="12.25" bestFit="1" customWidth="1"/>
    <col min="18" max="18" width="11.875" bestFit="1" customWidth="1"/>
    <col min="20" max="20" width="11.875" bestFit="1" customWidth="1"/>
    <col min="21" max="21" width="12.25" bestFit="1" customWidth="1"/>
    <col min="22" max="22" width="10.875" customWidth="1"/>
  </cols>
  <sheetData>
    <row r="1" spans="1:21">
      <c r="D1" s="19"/>
      <c r="E1" s="19"/>
      <c r="F1" s="19"/>
      <c r="G1" s="19"/>
      <c r="H1" s="19"/>
      <c r="I1" s="19"/>
      <c r="K1" s="19"/>
      <c r="M1" s="19"/>
    </row>
    <row r="2" spans="1:21">
      <c r="D2" s="19"/>
      <c r="E2" s="19"/>
      <c r="F2" s="19"/>
      <c r="G2" s="19"/>
      <c r="H2" s="19"/>
      <c r="I2" s="19"/>
      <c r="J2" s="19"/>
      <c r="K2" s="19"/>
    </row>
    <row r="3" spans="1:21">
      <c r="D3" s="19"/>
      <c r="E3" s="19"/>
      <c r="F3" s="19"/>
      <c r="G3" s="19"/>
      <c r="H3" s="19"/>
      <c r="I3" s="19"/>
      <c r="J3" s="19"/>
      <c r="K3" s="19"/>
    </row>
    <row r="4" spans="1:21">
      <c r="D4" s="19"/>
      <c r="E4" s="19"/>
      <c r="F4" s="19"/>
      <c r="G4" s="19"/>
      <c r="H4" s="19"/>
      <c r="I4" s="19"/>
      <c r="J4" s="19"/>
      <c r="K4" s="19"/>
    </row>
    <row r="5" spans="1:21">
      <c r="D5" s="19"/>
      <c r="E5" s="19"/>
      <c r="F5" s="19"/>
      <c r="G5" s="19"/>
      <c r="H5" s="19"/>
      <c r="I5" s="19"/>
      <c r="J5" s="19"/>
      <c r="K5" s="19"/>
    </row>
    <row r="6" spans="1:21">
      <c r="D6" s="19"/>
      <c r="E6" s="19"/>
      <c r="F6" s="19"/>
      <c r="G6" s="19"/>
      <c r="H6" s="19"/>
      <c r="I6" s="19"/>
      <c r="J6" s="19"/>
      <c r="K6" s="19"/>
    </row>
    <row r="7" spans="1:21">
      <c r="D7" s="19"/>
      <c r="E7" s="19"/>
      <c r="F7" s="19"/>
      <c r="G7" s="19"/>
      <c r="H7" s="19"/>
      <c r="I7" s="19"/>
      <c r="J7" s="19"/>
      <c r="K7" s="19"/>
    </row>
    <row r="8" spans="1:21">
      <c r="D8" s="19"/>
      <c r="E8" s="19"/>
      <c r="F8" s="19"/>
      <c r="G8" s="19"/>
      <c r="H8" s="19"/>
      <c r="I8" s="19"/>
      <c r="J8" s="19"/>
      <c r="K8" s="19"/>
    </row>
    <row r="9" spans="1:21">
      <c r="D9" s="19"/>
      <c r="E9" s="19"/>
      <c r="F9" s="19"/>
      <c r="G9" s="19"/>
      <c r="H9" s="19"/>
      <c r="I9" s="19"/>
      <c r="J9" s="19"/>
      <c r="K9" s="19"/>
    </row>
    <row r="10" spans="1:21">
      <c r="D10" s="19"/>
      <c r="E10" s="19"/>
      <c r="F10" s="19"/>
      <c r="G10" s="19"/>
      <c r="H10" s="19"/>
      <c r="I10" s="19"/>
      <c r="J10" s="19"/>
      <c r="K10" s="19"/>
    </row>
    <row r="11" spans="1:21">
      <c r="D11" s="19"/>
      <c r="E11" s="19"/>
      <c r="F11" s="19"/>
      <c r="G11" s="19"/>
      <c r="H11" s="19"/>
      <c r="I11" s="19"/>
      <c r="J11" s="19"/>
      <c r="K11" s="19"/>
    </row>
    <row r="12" spans="1:21">
      <c r="A12" t="s">
        <v>420</v>
      </c>
      <c r="K12" t="s">
        <v>850</v>
      </c>
      <c r="L12" t="s">
        <v>851</v>
      </c>
    </row>
    <row r="13" spans="1:21">
      <c r="A13" t="s">
        <v>852</v>
      </c>
      <c r="D13" t="s">
        <v>127</v>
      </c>
      <c r="E13" t="s">
        <v>159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 t="s">
        <v>138</v>
      </c>
    </row>
    <row r="14" spans="1:21">
      <c r="C14" t="s">
        <v>140</v>
      </c>
      <c r="D14" s="137">
        <v>40000</v>
      </c>
      <c r="E14" s="137">
        <v>40000</v>
      </c>
      <c r="F14" s="137">
        <v>40000</v>
      </c>
      <c r="G14" s="137">
        <v>40000</v>
      </c>
      <c r="H14" s="137">
        <v>40000</v>
      </c>
      <c r="I14" s="137">
        <v>40000</v>
      </c>
      <c r="J14" s="137">
        <v>40000</v>
      </c>
      <c r="K14" s="137">
        <v>40000</v>
      </c>
      <c r="L14" s="137">
        <v>40000</v>
      </c>
      <c r="M14" s="137">
        <v>56420</v>
      </c>
      <c r="N14" s="137">
        <v>56420</v>
      </c>
      <c r="O14" s="137">
        <v>56420</v>
      </c>
      <c r="P14" s="263">
        <f>SUM(D14:O14)</f>
        <v>529260</v>
      </c>
      <c r="Q14" t="s">
        <v>781</v>
      </c>
      <c r="S14" s="263">
        <f>P14-P19</f>
        <v>87912</v>
      </c>
    </row>
    <row r="15" spans="1:21">
      <c r="C15" t="s">
        <v>141</v>
      </c>
      <c r="Q15" t="s">
        <v>782</v>
      </c>
      <c r="S15" s="263">
        <f>P14-P20</f>
        <v>124691</v>
      </c>
      <c r="U15" s="8"/>
    </row>
    <row r="17" spans="1:22">
      <c r="A17" t="s">
        <v>389</v>
      </c>
    </row>
    <row r="18" spans="1:22">
      <c r="A18" t="s">
        <v>852</v>
      </c>
      <c r="D18" t="s">
        <v>127</v>
      </c>
      <c r="E18" t="s">
        <v>159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137</v>
      </c>
      <c r="O18" t="s">
        <v>138</v>
      </c>
    </row>
    <row r="19" spans="1:22">
      <c r="C19" t="s">
        <v>140</v>
      </c>
      <c r="D19" s="137">
        <v>36779</v>
      </c>
      <c r="E19" s="137">
        <v>36779</v>
      </c>
      <c r="F19" s="137">
        <v>36779</v>
      </c>
      <c r="G19" s="137">
        <v>36779</v>
      </c>
      <c r="H19" s="137">
        <v>36779</v>
      </c>
      <c r="I19" s="137">
        <v>36779</v>
      </c>
      <c r="J19" s="137">
        <v>36779</v>
      </c>
      <c r="K19" s="137">
        <v>36779</v>
      </c>
      <c r="L19" s="137">
        <v>36779</v>
      </c>
      <c r="M19" s="137">
        <v>36779</v>
      </c>
      <c r="N19" s="137">
        <v>36779</v>
      </c>
      <c r="O19" s="137">
        <v>36779</v>
      </c>
      <c r="P19" s="263">
        <f>SUM(D19:O19)</f>
        <v>441348</v>
      </c>
    </row>
    <row r="20" spans="1:22">
      <c r="C20" t="s">
        <v>141</v>
      </c>
      <c r="D20">
        <v>36779</v>
      </c>
      <c r="E20">
        <v>36779</v>
      </c>
      <c r="F20">
        <v>36779</v>
      </c>
      <c r="G20">
        <v>36779</v>
      </c>
      <c r="H20">
        <v>36779</v>
      </c>
      <c r="I20">
        <v>36779</v>
      </c>
      <c r="J20">
        <v>36779</v>
      </c>
      <c r="K20">
        <v>36779</v>
      </c>
      <c r="L20">
        <v>36779</v>
      </c>
      <c r="M20" s="262"/>
      <c r="N20">
        <v>36779</v>
      </c>
      <c r="O20">
        <v>36779</v>
      </c>
      <c r="P20" s="2">
        <f>SUM(D20:O20)</f>
        <v>404569</v>
      </c>
      <c r="U20" s="8"/>
    </row>
    <row r="21" spans="1:22">
      <c r="U21" s="8"/>
    </row>
    <row r="22" spans="1:22">
      <c r="A22" t="s">
        <v>783</v>
      </c>
      <c r="D22" t="s">
        <v>127</v>
      </c>
      <c r="E22" t="s">
        <v>159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134</v>
      </c>
      <c r="L22" t="s">
        <v>135</v>
      </c>
      <c r="M22" t="s">
        <v>136</v>
      </c>
      <c r="N22" t="s">
        <v>137</v>
      </c>
      <c r="O22" t="s">
        <v>138</v>
      </c>
      <c r="U22" s="8"/>
      <c r="V22" s="8"/>
    </row>
    <row r="23" spans="1:22">
      <c r="A23" t="s">
        <v>852</v>
      </c>
      <c r="D23" s="134">
        <v>36779</v>
      </c>
      <c r="E23" s="134">
        <v>36779</v>
      </c>
      <c r="F23" s="134">
        <v>36779</v>
      </c>
      <c r="G23" s="134">
        <v>36779</v>
      </c>
      <c r="H23" s="134">
        <v>36779</v>
      </c>
      <c r="I23" s="134">
        <v>36779</v>
      </c>
      <c r="J23" s="134">
        <v>36779</v>
      </c>
      <c r="K23" s="134">
        <v>36779</v>
      </c>
      <c r="L23" s="135">
        <v>1430</v>
      </c>
      <c r="M23" s="135">
        <v>1430</v>
      </c>
      <c r="N23" s="135">
        <v>1430</v>
      </c>
      <c r="O23" s="136">
        <v>1430</v>
      </c>
    </row>
    <row r="24" spans="1:22">
      <c r="D24" s="8" t="s">
        <v>784</v>
      </c>
      <c r="E24" s="8">
        <f>AVERAGE(D23:O23)</f>
        <v>24996</v>
      </c>
      <c r="F24" s="8"/>
      <c r="G24" s="8"/>
      <c r="H24" s="8"/>
      <c r="I24" s="8"/>
      <c r="J24" s="8"/>
      <c r="K24" s="8"/>
      <c r="L24" s="8"/>
      <c r="M24" s="8"/>
      <c r="N24" s="8"/>
    </row>
    <row r="25" spans="1:22"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22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Q26" s="8"/>
    </row>
    <row r="27" spans="1:22">
      <c r="M27" s="8"/>
    </row>
    <row r="28" spans="1:22">
      <c r="N28" s="8"/>
    </row>
    <row r="29" spans="1:22">
      <c r="J29" s="8"/>
      <c r="N29" s="8"/>
    </row>
    <row r="30" spans="1:22">
      <c r="J30" s="3"/>
      <c r="N30" s="8"/>
    </row>
    <row r="32" spans="1:22">
      <c r="J32" s="8"/>
    </row>
    <row r="36" spans="10:13">
      <c r="J36" s="8"/>
      <c r="M36" s="8"/>
    </row>
  </sheetData>
  <phoneticPr fontId="6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DDD4-F3D4-499D-9732-B67DB909510A}">
  <sheetPr codeName="Sheet15">
    <tabColor rgb="FFFFC000"/>
  </sheetPr>
  <dimension ref="A2:S24"/>
  <sheetViews>
    <sheetView zoomScale="85" zoomScaleNormal="85" workbookViewId="0">
      <selection activeCell="K20" sqref="K20"/>
    </sheetView>
  </sheetViews>
  <sheetFormatPr defaultRowHeight="18"/>
  <cols>
    <col min="2" max="2" width="51.75" bestFit="1" customWidth="1"/>
    <col min="3" max="3" width="17.875" bestFit="1" customWidth="1"/>
    <col min="4" max="5" width="10" bestFit="1" customWidth="1"/>
    <col min="6" max="6" width="15.125" customWidth="1"/>
    <col min="7" max="14" width="10" bestFit="1" customWidth="1"/>
    <col min="15" max="15" width="11" bestFit="1" customWidth="1"/>
  </cols>
  <sheetData>
    <row r="2" spans="1:19">
      <c r="D2" t="s">
        <v>147</v>
      </c>
      <c r="H2" t="s">
        <v>123</v>
      </c>
      <c r="L2" t="s">
        <v>124</v>
      </c>
    </row>
    <row r="3" spans="1:19">
      <c r="D3" t="s">
        <v>853</v>
      </c>
      <c r="E3" t="s">
        <v>153</v>
      </c>
      <c r="F3" t="s">
        <v>172</v>
      </c>
      <c r="H3" t="s">
        <v>853</v>
      </c>
      <c r="I3" t="s">
        <v>153</v>
      </c>
      <c r="J3" t="s">
        <v>172</v>
      </c>
      <c r="L3" t="s">
        <v>853</v>
      </c>
      <c r="M3" t="s">
        <v>153</v>
      </c>
      <c r="N3" t="s">
        <v>172</v>
      </c>
    </row>
    <row r="4" spans="1:19">
      <c r="B4" t="s">
        <v>854</v>
      </c>
      <c r="C4" t="s">
        <v>855</v>
      </c>
      <c r="D4" s="2">
        <v>350000</v>
      </c>
      <c r="E4">
        <v>2</v>
      </c>
      <c r="F4" s="2">
        <f>$D4*$E4</f>
        <v>700000</v>
      </c>
      <c r="H4" s="11">
        <v>350000</v>
      </c>
      <c r="I4">
        <v>1</v>
      </c>
      <c r="J4" s="11">
        <f>$H4*$I4</f>
        <v>350000</v>
      </c>
      <c r="L4" s="11">
        <v>350000</v>
      </c>
      <c r="M4">
        <v>1</v>
      </c>
      <c r="N4" s="2">
        <f>L4*M4</f>
        <v>350000</v>
      </c>
    </row>
    <row r="5" spans="1:19">
      <c r="C5" t="s">
        <v>856</v>
      </c>
      <c r="D5" s="2">
        <v>370000</v>
      </c>
      <c r="E5">
        <v>1</v>
      </c>
      <c r="F5" s="2">
        <f t="shared" ref="F5:F10" si="0">$D5*$E5</f>
        <v>370000</v>
      </c>
      <c r="H5" s="11">
        <v>370000</v>
      </c>
      <c r="I5">
        <v>1</v>
      </c>
      <c r="J5" s="11">
        <f t="shared" ref="J5:J10" si="1">$H5*$I5</f>
        <v>370000</v>
      </c>
      <c r="L5" s="11">
        <v>370000</v>
      </c>
      <c r="M5">
        <v>1</v>
      </c>
      <c r="N5" s="2">
        <f t="shared" ref="N5:N10" si="2">L5*M5</f>
        <v>370000</v>
      </c>
    </row>
    <row r="6" spans="1:19">
      <c r="C6" t="s">
        <v>857</v>
      </c>
      <c r="D6" s="2">
        <v>24000</v>
      </c>
      <c r="E6">
        <v>2</v>
      </c>
      <c r="F6" s="2">
        <f t="shared" si="0"/>
        <v>48000</v>
      </c>
      <c r="H6" s="11">
        <v>24000</v>
      </c>
      <c r="I6">
        <v>2</v>
      </c>
      <c r="J6" s="11">
        <f t="shared" si="1"/>
        <v>48000</v>
      </c>
      <c r="L6" s="11">
        <v>24000</v>
      </c>
      <c r="M6">
        <v>2</v>
      </c>
      <c r="N6" s="2">
        <f t="shared" si="2"/>
        <v>48000</v>
      </c>
    </row>
    <row r="7" spans="1:19">
      <c r="C7" t="s">
        <v>858</v>
      </c>
      <c r="D7" s="2">
        <v>54000</v>
      </c>
      <c r="E7">
        <v>1</v>
      </c>
      <c r="F7" s="2">
        <f t="shared" si="0"/>
        <v>54000</v>
      </c>
      <c r="H7" s="11">
        <v>54000</v>
      </c>
      <c r="I7">
        <v>1</v>
      </c>
      <c r="J7" s="11">
        <f t="shared" si="1"/>
        <v>54000</v>
      </c>
      <c r="L7" s="11">
        <v>36000</v>
      </c>
      <c r="M7">
        <v>1</v>
      </c>
      <c r="N7" s="2">
        <f t="shared" si="2"/>
        <v>36000</v>
      </c>
    </row>
    <row r="8" spans="1:19">
      <c r="C8" t="s">
        <v>859</v>
      </c>
      <c r="D8" s="2">
        <v>30000</v>
      </c>
      <c r="E8">
        <v>1</v>
      </c>
      <c r="F8" s="2">
        <f t="shared" si="0"/>
        <v>30000</v>
      </c>
      <c r="G8" s="3">
        <f>SUM(F4:F8)</f>
        <v>1202000</v>
      </c>
      <c r="H8" s="11">
        <v>30000</v>
      </c>
      <c r="I8">
        <v>1</v>
      </c>
      <c r="J8" s="11">
        <f t="shared" si="1"/>
        <v>30000</v>
      </c>
      <c r="K8" s="3">
        <f>SUM(J4:J8)</f>
        <v>852000</v>
      </c>
      <c r="L8" s="11">
        <v>20000</v>
      </c>
      <c r="M8">
        <v>1</v>
      </c>
      <c r="N8" s="2">
        <f t="shared" si="2"/>
        <v>20000</v>
      </c>
      <c r="O8" s="24">
        <f>SUM(N4:N8)</f>
        <v>824000</v>
      </c>
      <c r="P8">
        <v>48000</v>
      </c>
      <c r="Q8" s="3">
        <f>O8+P8</f>
        <v>872000</v>
      </c>
    </row>
    <row r="9" spans="1:19">
      <c r="B9" t="s">
        <v>860</v>
      </c>
      <c r="C9" t="s">
        <v>861</v>
      </c>
      <c r="D9" s="2">
        <v>800000</v>
      </c>
      <c r="E9">
        <v>1</v>
      </c>
      <c r="F9" s="2">
        <f t="shared" si="0"/>
        <v>800000</v>
      </c>
      <c r="H9" s="11">
        <v>800000</v>
      </c>
      <c r="I9">
        <v>1</v>
      </c>
      <c r="J9" s="11">
        <f t="shared" si="1"/>
        <v>800000</v>
      </c>
      <c r="L9" s="11">
        <v>700000</v>
      </c>
      <c r="M9">
        <v>1</v>
      </c>
      <c r="N9" s="2">
        <f t="shared" si="2"/>
        <v>700000</v>
      </c>
    </row>
    <row r="10" spans="1:19">
      <c r="C10" t="s">
        <v>862</v>
      </c>
      <c r="D10" s="2">
        <v>900000</v>
      </c>
      <c r="E10">
        <v>1</v>
      </c>
      <c r="F10" s="2">
        <f t="shared" si="0"/>
        <v>900000</v>
      </c>
      <c r="G10" s="3">
        <f>SUM(F9:F10)</f>
        <v>1700000</v>
      </c>
      <c r="H10" s="11">
        <v>900000</v>
      </c>
      <c r="I10">
        <v>1</v>
      </c>
      <c r="J10" s="11">
        <f t="shared" si="1"/>
        <v>900000</v>
      </c>
      <c r="K10" s="3">
        <f>SUM(J9:J10)</f>
        <v>1700000</v>
      </c>
      <c r="L10" s="11">
        <v>800000</v>
      </c>
      <c r="M10">
        <v>1</v>
      </c>
      <c r="N10" s="2">
        <f t="shared" si="2"/>
        <v>800000</v>
      </c>
      <c r="O10" s="24">
        <f>SUM(N9:N10)</f>
        <v>1500000</v>
      </c>
    </row>
    <row r="12" spans="1:19">
      <c r="C12">
        <f>350*3</f>
        <v>1050</v>
      </c>
    </row>
    <row r="14" spans="1:19">
      <c r="A14" t="s">
        <v>420</v>
      </c>
      <c r="C14" t="s">
        <v>127</v>
      </c>
      <c r="D14" t="s">
        <v>159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  <c r="P14" t="s">
        <v>780</v>
      </c>
    </row>
    <row r="15" spans="1:19">
      <c r="A15" t="s">
        <v>863</v>
      </c>
      <c r="C15" s="26">
        <v>824000</v>
      </c>
      <c r="D15" s="26">
        <v>824000</v>
      </c>
      <c r="E15" s="26">
        <v>872000</v>
      </c>
      <c r="F15" s="26">
        <v>824000</v>
      </c>
      <c r="G15" s="26">
        <v>824000</v>
      </c>
      <c r="H15" s="26">
        <v>824000</v>
      </c>
      <c r="I15" s="26">
        <v>824000</v>
      </c>
      <c r="J15" s="26">
        <v>824000</v>
      </c>
      <c r="K15" s="26">
        <v>824000</v>
      </c>
      <c r="L15" s="26">
        <v>824000</v>
      </c>
      <c r="M15" s="26">
        <v>824000</v>
      </c>
      <c r="N15" s="26">
        <v>824000</v>
      </c>
      <c r="O15" s="2">
        <f>SUM(C15:N15)</f>
        <v>9936000</v>
      </c>
      <c r="P15" t="s">
        <v>781</v>
      </c>
      <c r="S15" s="3">
        <f>O15-O22</f>
        <v>-240000</v>
      </c>
    </row>
    <row r="16" spans="1:19">
      <c r="P16" t="s">
        <v>782</v>
      </c>
      <c r="S16" s="3">
        <f>O15-O22</f>
        <v>-240000</v>
      </c>
    </row>
    <row r="17" spans="1:19">
      <c r="A17" t="s">
        <v>864</v>
      </c>
      <c r="C17" s="26">
        <v>1500000</v>
      </c>
      <c r="D17" s="26">
        <v>1500000</v>
      </c>
      <c r="E17" s="26">
        <v>1500000</v>
      </c>
      <c r="F17" s="26">
        <v>1500000</v>
      </c>
      <c r="G17" s="26">
        <v>1500000</v>
      </c>
      <c r="H17" s="26">
        <v>1500000</v>
      </c>
      <c r="I17" s="26">
        <v>1500000</v>
      </c>
      <c r="J17" s="26">
        <v>1500000</v>
      </c>
      <c r="K17" s="26">
        <v>1500000</v>
      </c>
      <c r="L17" s="26">
        <v>1500000</v>
      </c>
      <c r="M17" s="26">
        <v>1500000</v>
      </c>
      <c r="N17" s="26">
        <v>1500000</v>
      </c>
      <c r="O17" s="3">
        <f>SUM(C17:N17)</f>
        <v>18000000</v>
      </c>
      <c r="P17" t="s">
        <v>781</v>
      </c>
      <c r="S17" s="3">
        <f>O17-O24</f>
        <v>0</v>
      </c>
    </row>
    <row r="18" spans="1:19">
      <c r="P18" t="s">
        <v>782</v>
      </c>
      <c r="S18" s="3">
        <f>O17-O24</f>
        <v>0</v>
      </c>
    </row>
    <row r="21" spans="1:19">
      <c r="A21" t="s">
        <v>389</v>
      </c>
      <c r="C21" t="s">
        <v>127</v>
      </c>
      <c r="D21" t="s">
        <v>159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  <c r="L21" t="s">
        <v>136</v>
      </c>
      <c r="M21" t="s">
        <v>137</v>
      </c>
      <c r="N21" t="s">
        <v>138</v>
      </c>
    </row>
    <row r="22" spans="1:19">
      <c r="A22" t="s">
        <v>865</v>
      </c>
      <c r="C22" s="26">
        <v>828000</v>
      </c>
      <c r="D22" s="26">
        <v>852000</v>
      </c>
      <c r="E22" s="26">
        <v>876000</v>
      </c>
      <c r="F22" s="26">
        <v>828000</v>
      </c>
      <c r="G22" s="26">
        <v>828000</v>
      </c>
      <c r="H22" s="26">
        <v>852000</v>
      </c>
      <c r="I22" s="26">
        <v>852000</v>
      </c>
      <c r="J22" s="26">
        <v>852000</v>
      </c>
      <c r="K22" s="26">
        <v>852000</v>
      </c>
      <c r="L22" s="26">
        <v>852000</v>
      </c>
      <c r="M22" s="26">
        <v>852000</v>
      </c>
      <c r="N22" s="26">
        <v>852000</v>
      </c>
      <c r="O22" s="2">
        <f>SUM(C22:N22)</f>
        <v>10176000</v>
      </c>
    </row>
    <row r="24" spans="1:19">
      <c r="A24" t="s">
        <v>864</v>
      </c>
      <c r="C24" s="26">
        <v>1500000</v>
      </c>
      <c r="D24" s="26">
        <v>1500000</v>
      </c>
      <c r="E24" s="26">
        <v>1500000</v>
      </c>
      <c r="F24" s="26">
        <v>1500000</v>
      </c>
      <c r="G24" s="26">
        <v>1500000</v>
      </c>
      <c r="H24" s="26">
        <v>1500000</v>
      </c>
      <c r="I24" s="26">
        <v>1500000</v>
      </c>
      <c r="J24" s="26">
        <v>1500000</v>
      </c>
      <c r="K24" s="26">
        <v>1500000</v>
      </c>
      <c r="L24" s="26">
        <v>1500000</v>
      </c>
      <c r="M24" s="26">
        <v>1500000</v>
      </c>
      <c r="N24" s="26">
        <v>1500000</v>
      </c>
      <c r="O24" s="3">
        <f>SUM(C24:N24)</f>
        <v>18000000</v>
      </c>
    </row>
  </sheetData>
  <phoneticPr fontId="6"/>
  <pageMargins left="0.7" right="0.7" top="0.75" bottom="0.75" header="0.3" footer="0.3"/>
  <drawing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C308-5A15-4959-B340-4DED61B2E6A2}">
  <sheetPr codeName="Sheet26">
    <tabColor rgb="FFFFC000"/>
  </sheetPr>
  <dimension ref="A6:O13"/>
  <sheetViews>
    <sheetView zoomScale="85" zoomScaleNormal="85"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</row>
    <row r="7" spans="1:15">
      <c r="D7" t="s">
        <v>246</v>
      </c>
      <c r="E7" t="s">
        <v>153</v>
      </c>
      <c r="G7" t="s">
        <v>246</v>
      </c>
      <c r="H7" t="s">
        <v>153</v>
      </c>
    </row>
    <row r="8" spans="1:15">
      <c r="D8" s="2"/>
      <c r="G8" s="1">
        <v>13530</v>
      </c>
      <c r="H8">
        <v>1</v>
      </c>
    </row>
    <row r="9" spans="1:15">
      <c r="E9" t="s">
        <v>126</v>
      </c>
      <c r="F9" s="2">
        <f>D8*E8</f>
        <v>0</v>
      </c>
      <c r="H9" t="s">
        <v>126</v>
      </c>
      <c r="I9" s="124">
        <f>G8*H8</f>
        <v>13530</v>
      </c>
      <c r="J9" s="124"/>
    </row>
    <row r="10" spans="1:15">
      <c r="H10" t="s">
        <v>156</v>
      </c>
      <c r="I10" s="124">
        <f>I9*12</f>
        <v>162360</v>
      </c>
      <c r="J10" s="124"/>
    </row>
    <row r="11" spans="1:15">
      <c r="A11" t="s">
        <v>123</v>
      </c>
    </row>
    <row r="12" spans="1:15">
      <c r="C12" t="s">
        <v>127</v>
      </c>
      <c r="D12" t="s">
        <v>159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</row>
    <row r="13" spans="1:15">
      <c r="C13" s="124">
        <f>$I$9</f>
        <v>13530</v>
      </c>
      <c r="D13" s="124">
        <f t="shared" ref="D13:N13" si="0">$I$9</f>
        <v>13530</v>
      </c>
      <c r="E13" s="124">
        <f t="shared" si="0"/>
        <v>13530</v>
      </c>
      <c r="F13" s="124">
        <f t="shared" si="0"/>
        <v>13530</v>
      </c>
      <c r="G13" s="124">
        <f t="shared" si="0"/>
        <v>13530</v>
      </c>
      <c r="H13" s="124">
        <f t="shared" si="0"/>
        <v>13530</v>
      </c>
      <c r="I13" s="124">
        <f t="shared" si="0"/>
        <v>13530</v>
      </c>
      <c r="J13" s="124">
        <f t="shared" si="0"/>
        <v>13530</v>
      </c>
      <c r="K13" s="124">
        <f t="shared" si="0"/>
        <v>13530</v>
      </c>
      <c r="L13" s="124">
        <f t="shared" si="0"/>
        <v>13530</v>
      </c>
      <c r="M13" s="124">
        <f t="shared" si="0"/>
        <v>13530</v>
      </c>
      <c r="N13" s="124">
        <f t="shared" si="0"/>
        <v>13530</v>
      </c>
      <c r="O13" s="3">
        <f>SUM(C13:N13)</f>
        <v>162360</v>
      </c>
    </row>
  </sheetData>
  <phoneticPr fontId="6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9DAC-D426-4E30-BA65-BC470DE5AB80}">
  <sheetPr>
    <tabColor rgb="FFFF0000"/>
  </sheetPr>
  <dimension ref="A3:Q15"/>
  <sheetViews>
    <sheetView topLeftCell="V1" workbookViewId="0">
      <selection activeCell="K20" sqref="K20"/>
    </sheetView>
  </sheetViews>
  <sheetFormatPr defaultRowHeight="18"/>
  <cols>
    <col min="4" max="4" width="62.625" customWidth="1"/>
  </cols>
  <sheetData>
    <row r="3" spans="1:17" ht="18.600000000000001" thickBot="1"/>
    <row r="4" spans="1:17" ht="18.600000000000001" thickBot="1">
      <c r="D4" s="176" t="s">
        <v>866</v>
      </c>
    </row>
    <row r="5" spans="1:17">
      <c r="D5" s="177"/>
    </row>
    <row r="6" spans="1:17">
      <c r="D6" s="177" t="s">
        <v>867</v>
      </c>
    </row>
    <row r="7" spans="1:17">
      <c r="D7" s="177" t="s">
        <v>868</v>
      </c>
    </row>
    <row r="8" spans="1:17" ht="36">
      <c r="D8" s="177" t="s">
        <v>869</v>
      </c>
    </row>
    <row r="9" spans="1:17">
      <c r="D9" s="178" t="s">
        <v>870</v>
      </c>
    </row>
    <row r="10" spans="1:17" ht="36">
      <c r="D10" s="178" t="s">
        <v>871</v>
      </c>
    </row>
    <row r="11" spans="1:17">
      <c r="D11" s="178" t="s">
        <v>872</v>
      </c>
    </row>
    <row r="12" spans="1:17" ht="18.600000000000001" thickBot="1">
      <c r="D12" s="179" t="s">
        <v>873</v>
      </c>
    </row>
    <row r="15" spans="1:17">
      <c r="A15" s="182" t="s">
        <v>874</v>
      </c>
      <c r="B15" s="182"/>
      <c r="C15" s="182"/>
      <c r="D15" s="181" t="s">
        <v>875</v>
      </c>
      <c r="E15" s="183">
        <v>550000</v>
      </c>
      <c r="F15" s="183">
        <v>550000</v>
      </c>
      <c r="G15" s="183">
        <v>550000</v>
      </c>
      <c r="H15" s="183">
        <v>550000</v>
      </c>
      <c r="I15" s="183">
        <v>550000</v>
      </c>
      <c r="J15" s="183">
        <v>550000</v>
      </c>
      <c r="K15" s="183">
        <v>550000</v>
      </c>
      <c r="L15" s="183">
        <v>550000</v>
      </c>
      <c r="M15" s="183">
        <v>550000</v>
      </c>
      <c r="N15" s="183">
        <v>550000</v>
      </c>
      <c r="O15" s="183">
        <v>550000</v>
      </c>
      <c r="P15" s="183">
        <v>550000</v>
      </c>
      <c r="Q15" s="184">
        <f>SUM(E15:P15)</f>
        <v>6600000</v>
      </c>
    </row>
  </sheetData>
  <phoneticPr fontId="6"/>
  <hyperlinks>
    <hyperlink ref="D12" r:id="rId1" display="../../../../../:p:/s/itsupport/EX0fpHQjP7RFssLq8rpX5f4B3rDcP-o4N3ed0XtgxsynDQ?e=iRYIO6" xr:uid="{9CA022A4-CA29-4D47-9725-905F51D5F7C6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C186-005E-4B36-ADD6-3360EA4D75A4}">
  <sheetPr>
    <tabColor rgb="FFFF0000"/>
  </sheetPr>
  <dimension ref="A1"/>
  <sheetViews>
    <sheetView workbookViewId="0">
      <selection activeCell="K20" sqref="K20"/>
    </sheetView>
  </sheetViews>
  <sheetFormatPr defaultRowHeight="18"/>
  <sheetData/>
  <phoneticPr fontId="6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BA0E-0866-4671-8469-0A39AE76FAF0}">
  <dimension ref="B1:F16"/>
  <sheetViews>
    <sheetView workbookViewId="0">
      <selection activeCell="K20" sqref="K20"/>
    </sheetView>
  </sheetViews>
  <sheetFormatPr defaultRowHeight="18"/>
  <cols>
    <col min="2" max="2" width="35.375" bestFit="1" customWidth="1"/>
    <col min="3" max="3" width="10.125" style="8" bestFit="1" customWidth="1"/>
    <col min="4" max="4" width="19.875" bestFit="1" customWidth="1"/>
  </cols>
  <sheetData>
    <row r="1" spans="2:6">
      <c r="B1" t="s">
        <v>876</v>
      </c>
    </row>
    <row r="2" spans="2:6">
      <c r="B2" s="114" t="s">
        <v>877</v>
      </c>
    </row>
    <row r="3" spans="2:6">
      <c r="B3" t="s">
        <v>878</v>
      </c>
    </row>
    <row r="4" spans="2:6">
      <c r="B4" s="114" t="s">
        <v>879</v>
      </c>
    </row>
    <row r="5" spans="2:6">
      <c r="B5" s="114"/>
    </row>
    <row r="6" spans="2:6">
      <c r="E6" t="s">
        <v>880</v>
      </c>
    </row>
    <row r="7" spans="2:6">
      <c r="B7" t="s">
        <v>881</v>
      </c>
      <c r="C7" s="8">
        <f>E8*F8+E9*F9</f>
        <v>3500000</v>
      </c>
      <c r="E7" t="s">
        <v>882</v>
      </c>
      <c r="F7" t="s">
        <v>883</v>
      </c>
    </row>
    <row r="8" spans="2:6">
      <c r="D8" t="s">
        <v>884</v>
      </c>
      <c r="E8" s="8">
        <v>700000</v>
      </c>
      <c r="F8">
        <v>5</v>
      </c>
    </row>
    <row r="9" spans="2:6">
      <c r="D9" t="s">
        <v>885</v>
      </c>
      <c r="E9" s="8"/>
    </row>
    <row r="12" spans="2:6">
      <c r="B12" t="s">
        <v>886</v>
      </c>
      <c r="C12" s="8">
        <v>6500000</v>
      </c>
      <c r="D12" t="s">
        <v>887</v>
      </c>
    </row>
    <row r="16" spans="2:6">
      <c r="B16" t="s">
        <v>888</v>
      </c>
      <c r="C16" s="8">
        <v>1000000</v>
      </c>
      <c r="D16" t="s">
        <v>889</v>
      </c>
    </row>
  </sheetData>
  <phoneticPr fontId="6"/>
  <hyperlinks>
    <hyperlink ref="B2" r:id="rId1" display="https://fmi365-my.sharepoint.com/:fl:/g/personal/k_chen_frontier-mgmt_com/ERP7_9y4TbhInnBSS_lNrK0BCnhwdMFOkK_q0FLERbd1vA?e=SdCyNb&amp;nav=cz0lMkZwZXJzb25hbCUyRmtfY2hlbl9mcm9udGllci1tZ210X2NvbSZkPWIhNFVFNVJTbUNBMDZCX0hSNndBbjZabnlKY3A0RGtIZE9oVGM3ZUhZN2hhdXBIZEZmbUlueFNac0FOT212X1pvbCZmPTAxU1ZFR1JVQVQ3UDc1Wk9DTlhCRUo0NENTSlA0VTNMRk4mYz0lMkYmZmx1aWQ9MSZhPUxvb3BBcHA%3D" xr:uid="{8303A4ED-514A-47C0-84D8-69755F8768AA}"/>
    <hyperlink ref="B4" r:id="rId2" xr:uid="{CB36543F-2A61-47FF-8577-F32CC267B731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E993-0BF7-4C9D-A89E-252848749D99}">
  <dimension ref="A1"/>
  <sheetViews>
    <sheetView workbookViewId="0">
      <selection activeCell="K20" sqref="K20"/>
    </sheetView>
  </sheetViews>
  <sheetFormatPr defaultRowHeight="18"/>
  <sheetData/>
  <phoneticPr fontId="6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A5AE-A112-45A1-96D4-EFDF2F1D2A1A}">
  <sheetPr>
    <tabColor rgb="FFFF0000"/>
  </sheetPr>
  <dimension ref="A6:O13"/>
  <sheetViews>
    <sheetView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</row>
    <row r="7" spans="1:15">
      <c r="D7" t="s">
        <v>246</v>
      </c>
      <c r="E7" t="s">
        <v>153</v>
      </c>
      <c r="G7" t="s">
        <v>246</v>
      </c>
      <c r="H7" t="s">
        <v>153</v>
      </c>
    </row>
    <row r="8" spans="1:15">
      <c r="D8" s="2"/>
      <c r="G8" s="2">
        <v>5000</v>
      </c>
      <c r="H8">
        <v>700</v>
      </c>
    </row>
    <row r="9" spans="1:15">
      <c r="E9" t="s">
        <v>126</v>
      </c>
      <c r="F9" s="2">
        <f>D8*E8</f>
        <v>0</v>
      </c>
      <c r="H9" t="s">
        <v>156</v>
      </c>
      <c r="I9" s="124">
        <f>G8*H8</f>
        <v>3500000</v>
      </c>
      <c r="J9" s="124"/>
    </row>
    <row r="10" spans="1:15">
      <c r="H10" t="s">
        <v>126</v>
      </c>
      <c r="I10" s="124">
        <f>I9/12</f>
        <v>291666.66666666669</v>
      </c>
      <c r="J10" s="124">
        <v>292000</v>
      </c>
    </row>
    <row r="11" spans="1:15">
      <c r="A11" t="s">
        <v>123</v>
      </c>
    </row>
    <row r="12" spans="1:15">
      <c r="C12" t="s">
        <v>127</v>
      </c>
      <c r="D12" t="s">
        <v>159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</row>
    <row r="13" spans="1:15">
      <c r="C13" s="124">
        <f>$J$10</f>
        <v>292000</v>
      </c>
      <c r="D13" s="124">
        <f t="shared" ref="D13:N13" si="0">$J$10</f>
        <v>292000</v>
      </c>
      <c r="E13" s="124">
        <f t="shared" si="0"/>
        <v>292000</v>
      </c>
      <c r="F13" s="124">
        <f t="shared" si="0"/>
        <v>292000</v>
      </c>
      <c r="G13" s="124">
        <f t="shared" si="0"/>
        <v>292000</v>
      </c>
      <c r="H13" s="124">
        <f t="shared" si="0"/>
        <v>292000</v>
      </c>
      <c r="I13" s="124">
        <f t="shared" si="0"/>
        <v>292000</v>
      </c>
      <c r="J13" s="124">
        <f t="shared" si="0"/>
        <v>292000</v>
      </c>
      <c r="K13" s="124">
        <f t="shared" si="0"/>
        <v>292000</v>
      </c>
      <c r="L13" s="124">
        <f t="shared" si="0"/>
        <v>292000</v>
      </c>
      <c r="M13" s="124">
        <f t="shared" si="0"/>
        <v>292000</v>
      </c>
      <c r="N13" s="124">
        <f t="shared" si="0"/>
        <v>292000</v>
      </c>
      <c r="O13" s="3">
        <f>SUM(C13:N13)</f>
        <v>3504000</v>
      </c>
    </row>
  </sheetData>
  <phoneticPr fontId="6"/>
  <pageMargins left="0.7" right="0.7" top="0.75" bottom="0.75" header="0.3" footer="0.3"/>
  <drawing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AF0E-4C12-4EFE-83AB-CD0947D6F5FD}">
  <sheetPr codeName="Sheet40">
    <tabColor theme="0" tint="-0.34998626667073579"/>
  </sheetPr>
  <dimension ref="A6:O13"/>
  <sheetViews>
    <sheetView workbookViewId="0">
      <selection activeCell="K20" sqref="K20"/>
    </sheetView>
  </sheetViews>
  <sheetFormatPr defaultRowHeight="18"/>
  <cols>
    <col min="3" max="3" width="17.25" bestFit="1" customWidth="1"/>
    <col min="15" max="15" width="14.875" customWidth="1"/>
  </cols>
  <sheetData>
    <row r="6" spans="1:15">
      <c r="D6" t="s">
        <v>147</v>
      </c>
      <c r="G6" t="s">
        <v>123</v>
      </c>
    </row>
    <row r="7" spans="1:15">
      <c r="D7" t="s">
        <v>246</v>
      </c>
      <c r="E7" t="s">
        <v>153</v>
      </c>
      <c r="G7" t="s">
        <v>246</v>
      </c>
      <c r="H7" t="s">
        <v>153</v>
      </c>
    </row>
    <row r="8" spans="1:15">
      <c r="D8" s="2">
        <v>50000</v>
      </c>
      <c r="E8">
        <v>1</v>
      </c>
      <c r="G8" s="2">
        <f>D8</f>
        <v>50000</v>
      </c>
      <c r="H8">
        <v>1</v>
      </c>
    </row>
    <row r="9" spans="1:15">
      <c r="E9" t="s">
        <v>126</v>
      </c>
      <c r="F9" s="2">
        <f>D8*E8</f>
        <v>50000</v>
      </c>
      <c r="H9" t="s">
        <v>126</v>
      </c>
      <c r="I9" s="124">
        <f>G8*H8</f>
        <v>50000</v>
      </c>
      <c r="J9" s="124"/>
    </row>
    <row r="10" spans="1:15">
      <c r="H10" t="s">
        <v>156</v>
      </c>
      <c r="I10" s="124">
        <f>I9*12</f>
        <v>600000</v>
      </c>
      <c r="J10" s="124"/>
    </row>
    <row r="11" spans="1:15">
      <c r="A11" t="s">
        <v>123</v>
      </c>
    </row>
    <row r="12" spans="1:15">
      <c r="A12" t="s">
        <v>890</v>
      </c>
      <c r="C12" t="s">
        <v>127</v>
      </c>
      <c r="D12" t="s">
        <v>159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</row>
    <row r="13" spans="1:15">
      <c r="C13" s="124">
        <f>$I$9</f>
        <v>50000</v>
      </c>
      <c r="D13" s="124">
        <f t="shared" ref="D13:N13" si="0">$I$9</f>
        <v>50000</v>
      </c>
      <c r="E13" s="124">
        <f t="shared" si="0"/>
        <v>50000</v>
      </c>
      <c r="F13" s="124">
        <f t="shared" si="0"/>
        <v>50000</v>
      </c>
      <c r="G13" s="124">
        <f t="shared" si="0"/>
        <v>50000</v>
      </c>
      <c r="H13" s="124">
        <f t="shared" si="0"/>
        <v>50000</v>
      </c>
      <c r="I13" s="124">
        <f t="shared" si="0"/>
        <v>50000</v>
      </c>
      <c r="J13" s="124">
        <f t="shared" si="0"/>
        <v>50000</v>
      </c>
      <c r="K13" s="124">
        <f t="shared" si="0"/>
        <v>50000</v>
      </c>
      <c r="L13" s="124">
        <f t="shared" si="0"/>
        <v>50000</v>
      </c>
      <c r="M13" s="124">
        <f t="shared" si="0"/>
        <v>50000</v>
      </c>
      <c r="N13" s="124">
        <f t="shared" si="0"/>
        <v>50000</v>
      </c>
      <c r="O13" s="3">
        <f>SUM(C13:N13)</f>
        <v>600000</v>
      </c>
    </row>
  </sheetData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8D37AB5177425468BAC2A0DB2E6541F" ma:contentTypeVersion="28" ma:contentTypeDescription="新しいドキュメントを作成します。" ma:contentTypeScope="" ma:versionID="cba97d84c486959df0586ba7b06ac09c">
  <xsd:schema xmlns:xsd="http://www.w3.org/2001/XMLSchema" xmlns:xs="http://www.w3.org/2001/XMLSchema" xmlns:p="http://schemas.microsoft.com/office/2006/metadata/properties" xmlns:ns2="0bdae8ae-b230-4d93-8c72-8d75b0e630db" xmlns:ns3="0bae2aba-b362-47e7-9986-3aec0676ac2e" targetNamespace="http://schemas.microsoft.com/office/2006/metadata/properties" ma:root="true" ma:fieldsID="c90b1f2a85d0344a27061b0e1d7509bc" ns2:_="" ns3:_="">
    <xsd:import namespace="0bdae8ae-b230-4d93-8c72-8d75b0e630db"/>
    <xsd:import namespace="0bae2aba-b362-47e7-9986-3aec0676ac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5099__x8003_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_x30a2__x30af__x30c6__x30a3__x30d6_" minOccurs="0"/>
                <xsd:element ref="ns2:_x72b6__x614b__xff12_" minOccurs="0"/>
                <xsd:element ref="ns2:_x30e9__x30d9__x30eb_" minOccurs="0"/>
                <xsd:element ref="ns2:MediaServiceSearchProperties" minOccurs="0"/>
                <xsd:element ref="ns2:_x6587__x66f8__x30ec__x30d9__x30eb_" minOccurs="0"/>
                <xsd:element ref="ns2:_x90e8__x9580__x7ba1__x8f44__x30b3__x30fc__x30c9_" minOccurs="0"/>
                <xsd:element ref="ns2:_x6587__x66f8__x756a__x53f7_1" minOccurs="0"/>
                <xsd:element ref="ns2:MediaServiceBillingMetadata" minOccurs="0"/>
                <xsd:element ref="ns2:_x7248__x6570_" minOccurs="0"/>
                <xsd:element ref="ns2:_x898f__x683c__x30b3__x30fc__x30c9_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ae8ae-b230-4d93-8c72-8d75b0e630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466ed8ac-0ec8-4290-9b04-d16c022f2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x5099__x8003_" ma:index="19" nillable="true" ma:displayName="備考" ma:description="K1067とK1106は償却終わってます。K1113は残存簿価約8万円です。by経理小笠原さん" ma:format="Dropdown" ma:internalName="_x5099__x8003_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30a2__x30af__x30c6__x30a3__x30d6_" ma:index="23" nillable="true" ma:displayName="アクティブ" ma:format="Dropdown" ma:internalName="_x30a2__x30af__x30c6__x30a3__x30d6_">
      <xsd:simpleType>
        <xsd:union memberTypes="dms:Text">
          <xsd:simpleType>
            <xsd:restriction base="dms:Choice">
              <xsd:enumeration value="アクティブ"/>
              <xsd:enumeration value="終了"/>
              <xsd:enumeration value="中断"/>
            </xsd:restriction>
          </xsd:simpleType>
        </xsd:union>
      </xsd:simpleType>
    </xsd:element>
    <xsd:element name="_x72b6__x614b__xff12_" ma:index="24" nillable="true" ma:displayName="ステータス" ma:format="Dropdown" ma:internalName="_x72b6__x614b__xff12_">
      <xsd:simpleType>
        <xsd:restriction base="dms:Choice">
          <xsd:enumeration value="アクティブ"/>
          <xsd:enumeration value="終了"/>
          <xsd:enumeration value="中断"/>
        </xsd:restriction>
      </xsd:simpleType>
    </xsd:element>
    <xsd:element name="_x30e9__x30d9__x30eb_" ma:index="25" nillable="true" ma:displayName="ラベル" ma:format="Dropdown" ma:internalName="_x30e9__x30d9__x30eb_">
      <xsd:simpleType>
        <xsd:union memberTypes="dms:Text">
          <xsd:simpleType>
            <xsd:restriction base="dms:Choice">
              <xsd:enumeration value="最終"/>
              <xsd:enumeration value="選択肢 2"/>
              <xsd:enumeration value="選択肢 3"/>
              <xsd:enumeration value="作業リスト"/>
            </xsd:restriction>
          </xsd:simpleType>
        </xsd:un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6587__x66f8__x30ec__x30d9__x30eb_" ma:index="27" nillable="true" ma:displayName="文書レベル" ma:format="Dropdown" ma:internalName="_x6587__x66f8__x30ec__x30d9__x30eb_">
      <xsd:simpleType>
        <xsd:restriction base="dms:Choice">
          <xsd:enumeration value="1"/>
          <xsd:enumeration value="2"/>
          <xsd:enumeration value="3"/>
        </xsd:restriction>
      </xsd:simpleType>
    </xsd:element>
    <xsd:element name="_x90e8__x9580__x7ba1__x8f44__x30b3__x30fc__x30c9_" ma:index="28" nillable="true" ma:displayName="部門管轄コード" ma:format="Dropdown" ma:internalName="_x90e8__x9580__x7ba1__x8f44__x30b3__x30fc__x30c9_">
      <xsd:simpleType>
        <xsd:restriction base="dms:Choice">
          <xsd:enumeration value="01"/>
        </xsd:restriction>
      </xsd:simpleType>
    </xsd:element>
    <xsd:element name="_x6587__x66f8__x756a__x53f7_1" ma:index="29" nillable="true" ma:displayName="文書番号" ma:format="Dropdown" ma:internalName="_x6587__x66f8__x756a__x53f7_1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7248__x6570_" ma:index="31" nillable="true" ma:displayName="版数" ma:decimals="1" ma:default="1" ma:internalName="_x7248__x6570_" ma:percentage="FALSE">
      <xsd:simpleType>
        <xsd:restriction base="dms:Number"/>
      </xsd:simpleType>
    </xsd:element>
    <xsd:element name="_x898f__x683c__x30b3__x30fc__x30c9_2" ma:index="32" nillable="true" ma:displayName="規格コード" ma:default="I" ma:description="I→ISO27001" ma:format="Dropdown" ma:internalName="_x898f__x683c__x30b3__x30fc__x30c9_2">
      <xsd:simpleType>
        <xsd:union memberTypes="dms:Text">
          <xsd:simpleType>
            <xsd:restriction base="dms:Choice">
              <xsd:enumeration value="I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e2aba-b362-47e7-9986-3aec0676ac2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30bee20-8eed-49b1-8e2b-c6fd47b1fd1b}" ma:internalName="TaxCatchAll" ma:showField="CatchAllData" ma:web="0bae2aba-b362-47e7-9986-3aec0676ac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dae8ae-b230-4d93-8c72-8d75b0e630db">
      <Terms xmlns="http://schemas.microsoft.com/office/infopath/2007/PartnerControls"/>
    </lcf76f155ced4ddcb4097134ff3c332f>
    <_x5099__x8003_ xmlns="0bdae8ae-b230-4d93-8c72-8d75b0e630db" xsi:nil="true"/>
    <TaxCatchAll xmlns="0bae2aba-b362-47e7-9986-3aec0676ac2e" xsi:nil="true"/>
    <_x30a2__x30af__x30c6__x30a3__x30d6_ xmlns="0bdae8ae-b230-4d93-8c72-8d75b0e630db" xsi:nil="true"/>
    <_x72b6__x614b__xff12_ xmlns="0bdae8ae-b230-4d93-8c72-8d75b0e630db" xsi:nil="true"/>
    <_x30e9__x30d9__x30eb_ xmlns="0bdae8ae-b230-4d93-8c72-8d75b0e630db">最終</_x30e9__x30d9__x30eb_>
    <_x90e8__x9580__x7ba1__x8f44__x30b3__x30fc__x30c9_ xmlns="0bdae8ae-b230-4d93-8c72-8d75b0e630db" xsi:nil="true"/>
    <_x6587__x66f8__x756a__x53f7_1 xmlns="0bdae8ae-b230-4d93-8c72-8d75b0e630db" xsi:nil="true"/>
    <_x6587__x66f8__x30ec__x30d9__x30eb_ xmlns="0bdae8ae-b230-4d93-8c72-8d75b0e630db" xsi:nil="true"/>
    <_x898f__x683c__x30b3__x30fc__x30c9_2 xmlns="0bdae8ae-b230-4d93-8c72-8d75b0e630db">I</_x898f__x683c__x30b3__x30fc__x30c9_2>
    <_x7248__x6570_ xmlns="0bdae8ae-b230-4d93-8c72-8d75b0e630db">1</_x7248__x6570_>
  </documentManagement>
</p:properties>
</file>

<file path=customXml/itemProps1.xml><?xml version="1.0" encoding="utf-8"?>
<ds:datastoreItem xmlns:ds="http://schemas.openxmlformats.org/officeDocument/2006/customXml" ds:itemID="{D8614982-616D-4ECF-BCE2-4E7DF28FD7CB}"/>
</file>

<file path=customXml/itemProps2.xml><?xml version="1.0" encoding="utf-8"?>
<ds:datastoreItem xmlns:ds="http://schemas.openxmlformats.org/officeDocument/2006/customXml" ds:itemID="{630A57D2-B766-427B-9BA9-FCC2FDE11D52}"/>
</file>

<file path=customXml/itemProps3.xml><?xml version="1.0" encoding="utf-8"?>
<ds:datastoreItem xmlns:ds="http://schemas.openxmlformats.org/officeDocument/2006/customXml" ds:itemID="{76192A6E-34F2-4E24-9C0C-3CEB49295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 Keith(陳 建志)</cp:lastModifiedBy>
  <cp:revision/>
  <dcterms:created xsi:type="dcterms:W3CDTF">2023-07-31T03:13:53Z</dcterms:created>
  <dcterms:modified xsi:type="dcterms:W3CDTF">2025-12-22T01:42:17Z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0x010100F8D37AB5177425468BAC2A0DB2E6541F</vt:lpwstr>
  </property>
  <property fmtid="{D5CDD505-2E9C-101B-9397-08002B2CF9AE}" pid="3" name="MediaServiceImageTags">
    <vt:lpwstr/>
  </property>
</Properties>
</file>